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8.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52DBE0E8-E2D2-426B-BD62-81730CEBD23A}" xr6:coauthVersionLast="47" xr6:coauthVersionMax="47" xr10:uidLastSave="{00000000-0000-0000-0000-000000000000}"/>
  <bookViews>
    <workbookView xWindow="-108" yWindow="-108" windowWidth="23256" windowHeight="12456" tabRatio="445" xr2:uid="{00000000-000D-0000-FFFF-FFFF00000000}"/>
  </bookViews>
  <sheets>
    <sheet name="Wiki" sheetId="22" r:id="rId1"/>
    <sheet name="Tipologie e Macrocategorie" sheetId="20" r:id="rId2"/>
    <sheet name="Categorie" sheetId="11" r:id="rId3"/>
    <sheet name="C1_Convalida dati" sheetId="19" state="hidden" r:id="rId4"/>
    <sheet name="Ortesi" sheetId="10" state="hidden" r:id="rId5"/>
    <sheet name="Ginocchiere" sheetId="9" state="hidden" r:id="rId6"/>
    <sheet name="Cuffie" sheetId="8" state="hidden" r:id="rId7"/>
    <sheet name="Moduli" sheetId="7" state="hidden" r:id="rId8"/>
    <sheet name="Anche" sheetId="13" state="hidden" r:id="rId9"/>
    <sheet name="Arto superiore" sheetId="14" state="hidden" r:id="rId10"/>
    <sheet name="Ginocchi" sheetId="15" state="hidden" r:id="rId11"/>
    <sheet name="Mani poliarticolate" sheetId="16" state="hidden" r:id="rId12"/>
    <sheet name="Piedi" sheetId="17" state="hidden" r:id="rId13"/>
    <sheet name="Foglio1" sheetId="3" state="hidden" r:id="rId14"/>
    <sheet name="Sheet1" sheetId="1" state="hidden"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17" l="1"/>
  <c r="Q2" i="17" s="1"/>
  <c r="P2" i="17"/>
  <c r="N3" i="17"/>
  <c r="Q3" i="17" s="1"/>
  <c r="P3" i="17"/>
  <c r="T3" i="17"/>
  <c r="N4" i="17"/>
  <c r="Q4" i="17" s="1"/>
  <c r="P4" i="17"/>
  <c r="T4" i="17"/>
  <c r="N5" i="17"/>
  <c r="Q5" i="17" s="1"/>
  <c r="P5" i="17"/>
  <c r="T5" i="17"/>
  <c r="N6" i="17"/>
  <c r="Q6" i="17" s="1"/>
  <c r="P6" i="17"/>
  <c r="T6" i="17"/>
  <c r="N7" i="17"/>
  <c r="Q7" i="17" s="1"/>
  <c r="P7" i="17"/>
  <c r="T7" i="17"/>
  <c r="N8" i="17"/>
  <c r="Q8" i="17" s="1"/>
  <c r="P8" i="17"/>
  <c r="T8" i="17"/>
  <c r="N9" i="17"/>
  <c r="Q9" i="17" s="1"/>
  <c r="P9" i="17"/>
  <c r="T9" i="17"/>
  <c r="N10" i="17"/>
  <c r="Q10" i="17" s="1"/>
  <c r="P10" i="17"/>
  <c r="T10" i="17"/>
  <c r="N11" i="17"/>
  <c r="Q11" i="17" s="1"/>
  <c r="P11" i="17"/>
  <c r="T11" i="17"/>
  <c r="N12" i="17"/>
  <c r="Q12" i="17" s="1"/>
  <c r="P12" i="17"/>
  <c r="T12" i="17"/>
  <c r="N13" i="17"/>
  <c r="Q13" i="17" s="1"/>
  <c r="P13" i="17"/>
  <c r="T13" i="17"/>
  <c r="N14" i="17"/>
  <c r="Q14" i="17" s="1"/>
  <c r="P14" i="17"/>
  <c r="T14" i="17"/>
  <c r="N15" i="17"/>
  <c r="Q15" i="17" s="1"/>
  <c r="P15" i="17"/>
  <c r="T15" i="17"/>
  <c r="N16" i="17"/>
  <c r="Q16" i="17" s="1"/>
  <c r="P16" i="17"/>
  <c r="T16" i="17"/>
  <c r="N17" i="17"/>
  <c r="Q17" i="17" s="1"/>
  <c r="P17" i="17"/>
  <c r="T17" i="17"/>
  <c r="N18" i="17"/>
  <c r="Q18" i="17" s="1"/>
  <c r="P18" i="17"/>
  <c r="T18" i="17"/>
  <c r="N2" i="16"/>
  <c r="P2" i="16"/>
  <c r="Q2" i="16"/>
  <c r="R2" i="16"/>
  <c r="S2" i="16"/>
  <c r="T2" i="16" s="1"/>
  <c r="T3" i="16" s="1"/>
  <c r="N2" i="15"/>
  <c r="P2" i="15"/>
  <c r="Q2" i="15" s="1"/>
  <c r="N3" i="15"/>
  <c r="P3" i="15"/>
  <c r="Q3" i="15"/>
  <c r="S3" i="15" s="1"/>
  <c r="R3" i="15"/>
  <c r="T3" i="15"/>
  <c r="N4" i="15"/>
  <c r="P4" i="15"/>
  <c r="Q4" i="15" s="1"/>
  <c r="N5" i="15"/>
  <c r="P5" i="15"/>
  <c r="Q5" i="15"/>
  <c r="R5" i="15"/>
  <c r="S5" i="15"/>
  <c r="T5" i="15"/>
  <c r="N6" i="15"/>
  <c r="Q6" i="15" s="1"/>
  <c r="P6" i="15"/>
  <c r="T6" i="15"/>
  <c r="N7" i="15"/>
  <c r="P7" i="15"/>
  <c r="Q7" i="15"/>
  <c r="R7" i="15"/>
  <c r="S7" i="15"/>
  <c r="T7" i="15"/>
  <c r="N8" i="15"/>
  <c r="Q8" i="15" s="1"/>
  <c r="P8" i="15"/>
  <c r="T8" i="15"/>
  <c r="N9" i="15"/>
  <c r="P9" i="15"/>
  <c r="Q9" i="15"/>
  <c r="R9" i="15"/>
  <c r="S9" i="15"/>
  <c r="T9" i="15"/>
  <c r="N10" i="15"/>
  <c r="Q10" i="15" s="1"/>
  <c r="P10" i="15"/>
  <c r="T10" i="15"/>
  <c r="N11" i="15"/>
  <c r="P11" i="15"/>
  <c r="Q11" i="15"/>
  <c r="R11" i="15"/>
  <c r="S11" i="15"/>
  <c r="T11" i="15"/>
  <c r="N12" i="15"/>
  <c r="Q12" i="15" s="1"/>
  <c r="P12" i="15"/>
  <c r="T12" i="15"/>
  <c r="N13" i="15"/>
  <c r="P13" i="15"/>
  <c r="Q13" i="15"/>
  <c r="R13" i="15"/>
  <c r="S13" i="15"/>
  <c r="T13" i="15"/>
  <c r="N14" i="15"/>
  <c r="Q14" i="15" s="1"/>
  <c r="P14" i="15"/>
  <c r="T14" i="15"/>
  <c r="N15" i="15"/>
  <c r="P15" i="15"/>
  <c r="Q15" i="15"/>
  <c r="R15" i="15"/>
  <c r="S15" i="15"/>
  <c r="T15" i="15"/>
  <c r="N16" i="15"/>
  <c r="Q16" i="15" s="1"/>
  <c r="P16" i="15"/>
  <c r="T16" i="15"/>
  <c r="N17" i="15"/>
  <c r="P17" i="15"/>
  <c r="Q17" i="15"/>
  <c r="R17" i="15"/>
  <c r="S17" i="15"/>
  <c r="T17" i="15"/>
  <c r="N18" i="15"/>
  <c r="Q18" i="15" s="1"/>
  <c r="P18" i="15"/>
  <c r="T18" i="15"/>
  <c r="N19" i="15"/>
  <c r="P19" i="15"/>
  <c r="Q19" i="15"/>
  <c r="R19" i="15"/>
  <c r="S19" i="15"/>
  <c r="T19" i="15"/>
  <c r="N20" i="15"/>
  <c r="Q20" i="15" s="1"/>
  <c r="P20" i="15"/>
  <c r="T20" i="15"/>
  <c r="N2" i="14"/>
  <c r="P2" i="14"/>
  <c r="Q2" i="14"/>
  <c r="R2" i="14"/>
  <c r="S2" i="14"/>
  <c r="N3" i="14"/>
  <c r="P3" i="14"/>
  <c r="Q3" i="14" s="1"/>
  <c r="N4" i="14"/>
  <c r="P4" i="14"/>
  <c r="Q4" i="14"/>
  <c r="R4" i="14"/>
  <c r="S4" i="14"/>
  <c r="N5" i="14"/>
  <c r="Q5" i="14" s="1"/>
  <c r="P5" i="14"/>
  <c r="N6" i="14"/>
  <c r="Q6" i="14" s="1"/>
  <c r="P6" i="14"/>
  <c r="N7" i="14"/>
  <c r="P7" i="14"/>
  <c r="Q7" i="14"/>
  <c r="R7" i="14" s="1"/>
  <c r="N8" i="14"/>
  <c r="P8" i="14"/>
  <c r="Q8" i="14"/>
  <c r="R8" i="14" s="1"/>
  <c r="N9" i="14"/>
  <c r="P9" i="14"/>
  <c r="Q9" i="14"/>
  <c r="R9" i="14"/>
  <c r="S9" i="14"/>
  <c r="N10" i="14"/>
  <c r="Q10" i="14" s="1"/>
  <c r="P10" i="14"/>
  <c r="N11" i="14"/>
  <c r="Q11" i="14" s="1"/>
  <c r="P11" i="14"/>
  <c r="N12" i="14"/>
  <c r="Q12" i="14" s="1"/>
  <c r="P12" i="14"/>
  <c r="N13" i="14"/>
  <c r="P13" i="14"/>
  <c r="Q13" i="14" s="1"/>
  <c r="N14" i="14"/>
  <c r="P14" i="14"/>
  <c r="Q14" i="14"/>
  <c r="S14" i="14" s="1"/>
  <c r="R14" i="14"/>
  <c r="N15" i="14"/>
  <c r="P15" i="14"/>
  <c r="Q15" i="14" s="1"/>
  <c r="N16" i="14"/>
  <c r="P16" i="14"/>
  <c r="Q16" i="14"/>
  <c r="R16" i="14"/>
  <c r="S16" i="14"/>
  <c r="N17" i="14"/>
  <c r="Q17" i="14" s="1"/>
  <c r="P17" i="14"/>
  <c r="N18" i="14"/>
  <c r="Q18" i="14" s="1"/>
  <c r="P18" i="14"/>
  <c r="N19" i="14"/>
  <c r="P19" i="14"/>
  <c r="Q19" i="14"/>
  <c r="R19" i="14" s="1"/>
  <c r="N20" i="14"/>
  <c r="P20" i="14"/>
  <c r="Q20" i="14"/>
  <c r="S20" i="14" s="1"/>
  <c r="N21" i="14"/>
  <c r="P21" i="14"/>
  <c r="Q21" i="14"/>
  <c r="R21" i="14"/>
  <c r="S21" i="14"/>
  <c r="N22" i="14"/>
  <c r="Q22" i="14" s="1"/>
  <c r="P22" i="14"/>
  <c r="N23" i="14"/>
  <c r="Q23" i="14" s="1"/>
  <c r="P23" i="14"/>
  <c r="N24" i="14"/>
  <c r="P24" i="14"/>
  <c r="Q24" i="14"/>
  <c r="R24" i="14" s="1"/>
  <c r="N25" i="14"/>
  <c r="P25" i="14"/>
  <c r="Q25" i="14"/>
  <c r="R25" i="14" s="1"/>
  <c r="N26" i="14"/>
  <c r="P26" i="14"/>
  <c r="Q26" i="14"/>
  <c r="R26" i="14"/>
  <c r="S26" i="14"/>
  <c r="N27" i="14"/>
  <c r="Q27" i="14" s="1"/>
  <c r="S27" i="14" s="1"/>
  <c r="P27" i="14"/>
  <c r="N28" i="14"/>
  <c r="Q28" i="14" s="1"/>
  <c r="P28" i="14"/>
  <c r="N29" i="14"/>
  <c r="P29" i="14"/>
  <c r="Q29" i="14"/>
  <c r="S29" i="14" s="1"/>
  <c r="N30" i="14"/>
  <c r="Q30" i="14" s="1"/>
  <c r="P30" i="14"/>
  <c r="N31" i="14"/>
  <c r="P31" i="14"/>
  <c r="Q31" i="14"/>
  <c r="R31" i="14"/>
  <c r="S31" i="14"/>
  <c r="N32" i="14"/>
  <c r="Q32" i="14" s="1"/>
  <c r="P32" i="14"/>
  <c r="N33" i="14"/>
  <c r="Q33" i="14" s="1"/>
  <c r="P33" i="14"/>
  <c r="N34" i="14"/>
  <c r="P34" i="14"/>
  <c r="Q34" i="14"/>
  <c r="R34" i="14" s="1"/>
  <c r="N35" i="14"/>
  <c r="P35" i="14"/>
  <c r="Q35" i="14"/>
  <c r="S35" i="14" s="1"/>
  <c r="N36" i="14"/>
  <c r="P36" i="14"/>
  <c r="Q36" i="14"/>
  <c r="S36" i="14"/>
  <c r="N37" i="14"/>
  <c r="Q37" i="14" s="1"/>
  <c r="S37" i="14" s="1"/>
  <c r="P37" i="14"/>
  <c r="N38" i="14"/>
  <c r="P38" i="14"/>
  <c r="Q38" i="14"/>
  <c r="S38" i="14" s="1"/>
  <c r="N39" i="14"/>
  <c r="P39" i="14"/>
  <c r="Q39" i="14"/>
  <c r="R39" i="14"/>
  <c r="S39" i="14"/>
  <c r="N40" i="14"/>
  <c r="Q40" i="14" s="1"/>
  <c r="S40" i="14" s="1"/>
  <c r="P40" i="14"/>
  <c r="N41" i="14"/>
  <c r="P41" i="14"/>
  <c r="Q41" i="14" s="1"/>
  <c r="S41" i="14" s="1"/>
  <c r="N42" i="14"/>
  <c r="P42" i="14"/>
  <c r="Q42" i="14"/>
  <c r="S42" i="14"/>
  <c r="N43" i="14"/>
  <c r="Q43" i="14" s="1"/>
  <c r="P43" i="14"/>
  <c r="N44" i="14"/>
  <c r="Q44" i="14" s="1"/>
  <c r="P44" i="14"/>
  <c r="N45" i="14"/>
  <c r="P45" i="14"/>
  <c r="Q45" i="14"/>
  <c r="S45" i="14" s="1"/>
  <c r="N2" i="13"/>
  <c r="P2" i="13"/>
  <c r="Q2" i="13"/>
  <c r="S2" i="13" s="1"/>
  <c r="R2" i="13"/>
  <c r="N3" i="13"/>
  <c r="P3" i="13"/>
  <c r="Q3" i="13"/>
  <c r="S3" i="13" s="1"/>
  <c r="R3" i="13"/>
  <c r="T3" i="13"/>
  <c r="N4" i="13"/>
  <c r="P4" i="13"/>
  <c r="Q4" i="13"/>
  <c r="S4" i="13" s="1"/>
  <c r="R4" i="13"/>
  <c r="T4" i="13"/>
  <c r="T22" i="10"/>
  <c r="Q22" i="10"/>
  <c r="S22" i="10" s="1"/>
  <c r="M22" i="10"/>
  <c r="T21" i="10"/>
  <c r="Q21" i="10"/>
  <c r="S21" i="10" s="1"/>
  <c r="M21" i="10"/>
  <c r="T20" i="10"/>
  <c r="Q20" i="10"/>
  <c r="S20" i="10" s="1"/>
  <c r="M20" i="10"/>
  <c r="T19" i="10"/>
  <c r="Q19" i="10"/>
  <c r="S19" i="10" s="1"/>
  <c r="T18" i="10"/>
  <c r="R18" i="10"/>
  <c r="S18" i="10" s="1"/>
  <c r="Q18" i="10"/>
  <c r="T17" i="10"/>
  <c r="Q17" i="10"/>
  <c r="R17" i="10" s="1"/>
  <c r="T16" i="10"/>
  <c r="Q16" i="10"/>
  <c r="T15" i="10"/>
  <c r="Q15" i="10"/>
  <c r="R15" i="10" s="1"/>
  <c r="T14" i="10"/>
  <c r="Q14" i="10"/>
  <c r="R14" i="10" s="1"/>
  <c r="N14" i="10"/>
  <c r="T13" i="10"/>
  <c r="N13" i="10"/>
  <c r="Q13" i="10" s="1"/>
  <c r="T12" i="10"/>
  <c r="N12" i="10"/>
  <c r="Q12" i="10" s="1"/>
  <c r="T11" i="10"/>
  <c r="N11" i="10"/>
  <c r="Q11" i="10" s="1"/>
  <c r="T10" i="10"/>
  <c r="N10" i="10"/>
  <c r="Q10" i="10" s="1"/>
  <c r="T9" i="10"/>
  <c r="N9" i="10"/>
  <c r="Q9" i="10" s="1"/>
  <c r="T8" i="10"/>
  <c r="N8" i="10"/>
  <c r="Q8" i="10" s="1"/>
  <c r="T7" i="10"/>
  <c r="N7" i="10"/>
  <c r="Q7" i="10" s="1"/>
  <c r="T6" i="10"/>
  <c r="N6" i="10"/>
  <c r="Q6" i="10" s="1"/>
  <c r="T5" i="10"/>
  <c r="N5" i="10"/>
  <c r="Q5" i="10" s="1"/>
  <c r="T4" i="10"/>
  <c r="N4" i="10"/>
  <c r="Q4" i="10" s="1"/>
  <c r="T3" i="10"/>
  <c r="N3" i="10"/>
  <c r="Q3" i="10" s="1"/>
  <c r="N2" i="10"/>
  <c r="Q2" i="10" s="1"/>
  <c r="R2" i="10" s="1"/>
  <c r="T5" i="9"/>
  <c r="P5" i="9"/>
  <c r="N5" i="9"/>
  <c r="T4" i="9"/>
  <c r="P4" i="9"/>
  <c r="N4" i="9"/>
  <c r="Q4" i="9" s="1"/>
  <c r="S4" i="9" s="1"/>
  <c r="T3" i="9"/>
  <c r="P3" i="9"/>
  <c r="N3" i="9"/>
  <c r="P2" i="9"/>
  <c r="N2" i="9"/>
  <c r="T20" i="8"/>
  <c r="P20" i="8"/>
  <c r="N20" i="8"/>
  <c r="Q20" i="8" s="1"/>
  <c r="T19" i="8"/>
  <c r="P19" i="8"/>
  <c r="N19" i="8"/>
  <c r="Q19" i="8" s="1"/>
  <c r="S19" i="8" s="1"/>
  <c r="T18" i="8"/>
  <c r="P18" i="8"/>
  <c r="N18" i="8"/>
  <c r="T17" i="8"/>
  <c r="P17" i="8"/>
  <c r="N17" i="8"/>
  <c r="T16" i="8"/>
  <c r="P16" i="8"/>
  <c r="N16" i="8"/>
  <c r="Q16" i="8" s="1"/>
  <c r="S16" i="8" s="1"/>
  <c r="T15" i="8"/>
  <c r="P15" i="8"/>
  <c r="N15" i="8"/>
  <c r="T14" i="8"/>
  <c r="P14" i="8"/>
  <c r="N14" i="8"/>
  <c r="Q14" i="8" s="1"/>
  <c r="S14" i="8" s="1"/>
  <c r="T13" i="8"/>
  <c r="P13" i="8"/>
  <c r="N13" i="8"/>
  <c r="T12" i="8"/>
  <c r="P12" i="8"/>
  <c r="N12" i="8"/>
  <c r="Q12" i="8" s="1"/>
  <c r="S12" i="8" s="1"/>
  <c r="T11" i="8"/>
  <c r="P11" i="8"/>
  <c r="N11" i="8"/>
  <c r="T10" i="8"/>
  <c r="P10" i="8"/>
  <c r="N10" i="8"/>
  <c r="Q10" i="8" s="1"/>
  <c r="S10" i="8" s="1"/>
  <c r="T9" i="8"/>
  <c r="P9" i="8"/>
  <c r="N9" i="8"/>
  <c r="Q9" i="8" s="1"/>
  <c r="S9" i="8" s="1"/>
  <c r="T8" i="8"/>
  <c r="P8" i="8"/>
  <c r="N8" i="8"/>
  <c r="T7" i="8"/>
  <c r="P7" i="8"/>
  <c r="N7" i="8"/>
  <c r="Q7" i="8" s="1"/>
  <c r="S7" i="8" s="1"/>
  <c r="T6" i="8"/>
  <c r="P6" i="8"/>
  <c r="N6" i="8"/>
  <c r="Q6" i="8" s="1"/>
  <c r="S6" i="8" s="1"/>
  <c r="T5" i="8"/>
  <c r="P5" i="8"/>
  <c r="N5" i="8"/>
  <c r="T4" i="8"/>
  <c r="P4" i="8"/>
  <c r="N4" i="8"/>
  <c r="Q4" i="8" s="1"/>
  <c r="S4" i="8" s="1"/>
  <c r="T3" i="8"/>
  <c r="P3" i="8"/>
  <c r="N3" i="8"/>
  <c r="P2" i="8"/>
  <c r="N2" i="8"/>
  <c r="Q2" i="8" s="1"/>
  <c r="S2" i="8" s="1"/>
  <c r="T34" i="7"/>
  <c r="P34" i="7"/>
  <c r="Q34" i="7" s="1"/>
  <c r="R34" i="7" s="1"/>
  <c r="S34" i="7" s="1"/>
  <c r="T33" i="7"/>
  <c r="P33" i="7"/>
  <c r="Q33" i="7" s="1"/>
  <c r="T32" i="7"/>
  <c r="P32" i="7"/>
  <c r="N32" i="7"/>
  <c r="T31" i="7"/>
  <c r="P31" i="7"/>
  <c r="N31" i="7"/>
  <c r="Q31" i="7" s="1"/>
  <c r="S31" i="7" s="1"/>
  <c r="T30" i="7"/>
  <c r="P30" i="7"/>
  <c r="N30" i="7"/>
  <c r="Q30" i="7" s="1"/>
  <c r="S30" i="7" s="1"/>
  <c r="T29" i="7"/>
  <c r="P29" i="7"/>
  <c r="N29" i="7"/>
  <c r="Q29" i="7" s="1"/>
  <c r="S29" i="7" s="1"/>
  <c r="T28" i="7"/>
  <c r="P28" i="7"/>
  <c r="N28" i="7"/>
  <c r="T27" i="7"/>
  <c r="P27" i="7"/>
  <c r="N27" i="7"/>
  <c r="Q27" i="7" s="1"/>
  <c r="S27" i="7" s="1"/>
  <c r="T26" i="7"/>
  <c r="P26" i="7"/>
  <c r="N26" i="7"/>
  <c r="Q26" i="7" s="1"/>
  <c r="S26" i="7" s="1"/>
  <c r="T25" i="7"/>
  <c r="P25" i="7"/>
  <c r="N25" i="7"/>
  <c r="Q25" i="7" s="1"/>
  <c r="S25" i="7" s="1"/>
  <c r="T24" i="7"/>
  <c r="P24" i="7"/>
  <c r="N24" i="7"/>
  <c r="T23" i="7"/>
  <c r="P23" i="7"/>
  <c r="N23" i="7"/>
  <c r="Q23" i="7" s="1"/>
  <c r="S23" i="7" s="1"/>
  <c r="T22" i="7"/>
  <c r="P22" i="7"/>
  <c r="N22" i="7"/>
  <c r="T21" i="7"/>
  <c r="P21" i="7"/>
  <c r="N21" i="7"/>
  <c r="Q21" i="7" s="1"/>
  <c r="S21" i="7" s="1"/>
  <c r="T20" i="7"/>
  <c r="P20" i="7"/>
  <c r="Q20" i="7" s="1"/>
  <c r="S20" i="7" s="1"/>
  <c r="N20" i="7"/>
  <c r="T19" i="7"/>
  <c r="P19" i="7"/>
  <c r="N19" i="7"/>
  <c r="Q19" i="7" s="1"/>
  <c r="S19" i="7" s="1"/>
  <c r="T18" i="7"/>
  <c r="P18" i="7"/>
  <c r="N18" i="7"/>
  <c r="Q18" i="7" s="1"/>
  <c r="S18" i="7" s="1"/>
  <c r="T17" i="7"/>
  <c r="P17" i="7"/>
  <c r="N17" i="7"/>
  <c r="Q17" i="7" s="1"/>
  <c r="S17" i="7" s="1"/>
  <c r="T16" i="7"/>
  <c r="P16" i="7"/>
  <c r="N16" i="7"/>
  <c r="Q16" i="7" s="1"/>
  <c r="S16" i="7" s="1"/>
  <c r="T15" i="7"/>
  <c r="P15" i="7"/>
  <c r="N15" i="7"/>
  <c r="Q15" i="7" s="1"/>
  <c r="S15" i="7" s="1"/>
  <c r="T14" i="7"/>
  <c r="P14" i="7"/>
  <c r="N14" i="7"/>
  <c r="Q14" i="7" s="1"/>
  <c r="S14" i="7" s="1"/>
  <c r="T13" i="7"/>
  <c r="P13" i="7"/>
  <c r="N13" i="7"/>
  <c r="T12" i="7"/>
  <c r="P12" i="7"/>
  <c r="N12" i="7"/>
  <c r="Q12" i="7" s="1"/>
  <c r="S12" i="7" s="1"/>
  <c r="T11" i="7"/>
  <c r="P11" i="7"/>
  <c r="N11" i="7"/>
  <c r="Q11" i="7" s="1"/>
  <c r="S11" i="7" s="1"/>
  <c r="T10" i="7"/>
  <c r="P10" i="7"/>
  <c r="N10" i="7"/>
  <c r="T9" i="7"/>
  <c r="P9" i="7"/>
  <c r="N9" i="7"/>
  <c r="T8" i="7"/>
  <c r="P8" i="7"/>
  <c r="N8" i="7"/>
  <c r="T7" i="7"/>
  <c r="P7" i="7"/>
  <c r="N7" i="7"/>
  <c r="Q7" i="7" s="1"/>
  <c r="S7" i="7" s="1"/>
  <c r="T6" i="7"/>
  <c r="P6" i="7"/>
  <c r="N6" i="7"/>
  <c r="Q6" i="7" s="1"/>
  <c r="S6" i="7" s="1"/>
  <c r="T5" i="7"/>
  <c r="Q5" i="7"/>
  <c r="S5" i="7" s="1"/>
  <c r="P5" i="7"/>
  <c r="N5" i="7"/>
  <c r="T4" i="7"/>
  <c r="P4" i="7"/>
  <c r="N4" i="7"/>
  <c r="Q4" i="7" s="1"/>
  <c r="S4" i="7" s="1"/>
  <c r="T3" i="7"/>
  <c r="P3" i="7"/>
  <c r="N3" i="7"/>
  <c r="Q3" i="7" s="1"/>
  <c r="S3" i="7" s="1"/>
  <c r="P2" i="7"/>
  <c r="N2" i="7"/>
  <c r="Q2" i="7" s="1"/>
  <c r="S2" i="7" s="1"/>
  <c r="T2" i="13" l="1"/>
  <c r="T5" i="13" s="1"/>
  <c r="R18" i="14"/>
  <c r="S18" i="14"/>
  <c r="R5" i="14"/>
  <c r="S5" i="14" s="1"/>
  <c r="R18" i="15"/>
  <c r="S18" i="15" s="1"/>
  <c r="R10" i="15"/>
  <c r="S10" i="15" s="1"/>
  <c r="R13" i="14"/>
  <c r="S13" i="14"/>
  <c r="R15" i="17"/>
  <c r="S15" i="17"/>
  <c r="R11" i="17"/>
  <c r="S11" i="17"/>
  <c r="R7" i="17"/>
  <c r="S7" i="17" s="1"/>
  <c r="R20" i="15"/>
  <c r="S20" i="15" s="1"/>
  <c r="R12" i="14"/>
  <c r="S12" i="14"/>
  <c r="R18" i="17"/>
  <c r="S18" i="17"/>
  <c r="R14" i="17"/>
  <c r="S14" i="17"/>
  <c r="R10" i="17"/>
  <c r="S10" i="17"/>
  <c r="R6" i="17"/>
  <c r="S6" i="17" s="1"/>
  <c r="R32" i="14"/>
  <c r="S32" i="14"/>
  <c r="R28" i="14"/>
  <c r="S28" i="14"/>
  <c r="R3" i="14"/>
  <c r="S3" i="14"/>
  <c r="R14" i="15"/>
  <c r="S14" i="15" s="1"/>
  <c r="R6" i="15"/>
  <c r="S6" i="15"/>
  <c r="R11" i="14"/>
  <c r="S11" i="14" s="1"/>
  <c r="R44" i="14"/>
  <c r="S44" i="14"/>
  <c r="R15" i="14"/>
  <c r="S15" i="14"/>
  <c r="R2" i="15"/>
  <c r="S2" i="15"/>
  <c r="R17" i="17"/>
  <c r="S17" i="17"/>
  <c r="R13" i="17"/>
  <c r="S13" i="17"/>
  <c r="R9" i="17"/>
  <c r="S9" i="17"/>
  <c r="R5" i="17"/>
  <c r="S5" i="17"/>
  <c r="R23" i="14"/>
  <c r="S23" i="14"/>
  <c r="R10" i="14"/>
  <c r="S10" i="14" s="1"/>
  <c r="R16" i="15"/>
  <c r="S16" i="15"/>
  <c r="R8" i="15"/>
  <c r="S8" i="15"/>
  <c r="R43" i="14"/>
  <c r="S43" i="14"/>
  <c r="R6" i="14"/>
  <c r="S6" i="14"/>
  <c r="R22" i="14"/>
  <c r="S22" i="14"/>
  <c r="R16" i="17"/>
  <c r="S16" i="17"/>
  <c r="R12" i="17"/>
  <c r="S12" i="17"/>
  <c r="R8" i="17"/>
  <c r="S8" i="17"/>
  <c r="R4" i="17"/>
  <c r="S4" i="17"/>
  <c r="R30" i="14"/>
  <c r="S30" i="14"/>
  <c r="R4" i="15"/>
  <c r="S4" i="15"/>
  <c r="R3" i="17"/>
  <c r="S3" i="17"/>
  <c r="R17" i="14"/>
  <c r="S17" i="14"/>
  <c r="R12" i="15"/>
  <c r="S12" i="15"/>
  <c r="R33" i="14"/>
  <c r="S33" i="14"/>
  <c r="R2" i="17"/>
  <c r="S2" i="17"/>
  <c r="S25" i="14"/>
  <c r="S8" i="14"/>
  <c r="S34" i="14"/>
  <c r="S24" i="14"/>
  <c r="S19" i="14"/>
  <c r="S7" i="14"/>
  <c r="Q3" i="9"/>
  <c r="S3" i="9" s="1"/>
  <c r="Q5" i="9"/>
  <c r="S5" i="9" s="1"/>
  <c r="Q32" i="7"/>
  <c r="S32" i="7" s="1"/>
  <c r="Q10" i="7"/>
  <c r="S10" i="7" s="1"/>
  <c r="Q22" i="7"/>
  <c r="S22" i="7" s="1"/>
  <c r="Q24" i="7"/>
  <c r="S24" i="7" s="1"/>
  <c r="Q8" i="7"/>
  <c r="S8" i="7" s="1"/>
  <c r="T2" i="7" s="1"/>
  <c r="Q9" i="7"/>
  <c r="S9" i="7" s="1"/>
  <c r="Q13" i="7"/>
  <c r="S13" i="7" s="1"/>
  <c r="Q28" i="7"/>
  <c r="S28" i="7" s="1"/>
  <c r="Q2" i="9"/>
  <c r="S2" i="9" s="1"/>
  <c r="T2" i="9" s="1"/>
  <c r="S8" i="10"/>
  <c r="R8" i="10"/>
  <c r="S15" i="10"/>
  <c r="R10" i="10"/>
  <c r="S10" i="10" s="1"/>
  <c r="R7" i="10"/>
  <c r="S7" i="10" s="1"/>
  <c r="R12" i="10"/>
  <c r="S12" i="10" s="1"/>
  <c r="R13" i="10"/>
  <c r="S13" i="10" s="1"/>
  <c r="R11" i="10"/>
  <c r="S11" i="10" s="1"/>
  <c r="R3" i="10"/>
  <c r="S3" i="10" s="1"/>
  <c r="R4" i="10"/>
  <c r="S4" i="10" s="1"/>
  <c r="R5" i="10"/>
  <c r="S5" i="10" s="1"/>
  <c r="R9" i="10"/>
  <c r="S9" i="10"/>
  <c r="S2" i="10"/>
  <c r="S14" i="10"/>
  <c r="S17" i="10"/>
  <c r="R6" i="10"/>
  <c r="S6" i="10" s="1"/>
  <c r="R16" i="10"/>
  <c r="S16" i="10" s="1"/>
  <c r="Q18" i="8"/>
  <c r="S18" i="8" s="1"/>
  <c r="Q8" i="8"/>
  <c r="S8" i="8" s="1"/>
  <c r="Q5" i="8"/>
  <c r="S5" i="8" s="1"/>
  <c r="Q15" i="8"/>
  <c r="S15" i="8" s="1"/>
  <c r="Q3" i="8"/>
  <c r="S3" i="8" s="1"/>
  <c r="Q11" i="8"/>
  <c r="S11" i="8" s="1"/>
  <c r="Q13" i="8"/>
  <c r="S13" i="8" s="1"/>
  <c r="Q17" i="8"/>
  <c r="R17" i="8" s="1"/>
  <c r="R20" i="8"/>
  <c r="S20" i="8" s="1"/>
  <c r="R33" i="7"/>
  <c r="S33" i="7" s="1"/>
  <c r="T2" i="14" l="1"/>
  <c r="T46" i="14" s="1"/>
  <c r="T2" i="15"/>
  <c r="T21" i="15" s="1"/>
  <c r="T2" i="17"/>
  <c r="T19" i="17" s="1"/>
  <c r="T2" i="10"/>
  <c r="T23" i="10" s="1"/>
  <c r="T6" i="9"/>
  <c r="S17" i="8"/>
  <c r="T2" i="8"/>
  <c r="T21" i="8"/>
  <c r="T35" i="7"/>
  <c r="V11" i="3" l="1"/>
  <c r="S2" i="3"/>
  <c r="S3" i="3"/>
  <c r="S4" i="3"/>
  <c r="S5" i="3"/>
  <c r="S6" i="3"/>
  <c r="S7" i="3"/>
  <c r="S8" i="3"/>
  <c r="S9" i="3"/>
  <c r="S10" i="3"/>
  <c r="S11" i="3"/>
  <c r="S12" i="3"/>
  <c r="S13" i="3"/>
  <c r="S14" i="3"/>
  <c r="S15" i="3"/>
  <c r="S16" i="3"/>
  <c r="S17" i="3"/>
  <c r="S18" i="3"/>
  <c r="S19" i="3"/>
  <c r="S20" i="3"/>
  <c r="S21" i="3"/>
  <c r="S1" i="3"/>
  <c r="F2" i="3" l="1"/>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1" i="3"/>
  <c r="D37" i="3"/>
  <c r="E2" i="3" l="1"/>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1" i="3"/>
  <c r="B2" i="3" l="1"/>
  <c r="B3" i="3"/>
  <c r="B4" i="3"/>
  <c r="B5" i="3"/>
  <c r="B1" i="3"/>
  <c r="A6" i="3"/>
  <c r="B6" i="3" l="1"/>
</calcChain>
</file>

<file path=xl/sharedStrings.xml><?xml version="1.0" encoding="utf-8"?>
<sst xmlns="http://schemas.openxmlformats.org/spreadsheetml/2006/main" count="2738" uniqueCount="1402">
  <si>
    <t>Tipologia</t>
  </si>
  <si>
    <t>Macrocategoria</t>
  </si>
  <si>
    <t>Codice</t>
  </si>
  <si>
    <t>Adulti</t>
  </si>
  <si>
    <t>Bambini</t>
  </si>
  <si>
    <r>
      <rPr>
        <b/>
        <sz val="12"/>
        <color rgb="FF000000"/>
        <rFont val="Arial"/>
        <family val="2"/>
      </rPr>
      <t>Garanzia</t>
    </r>
    <r>
      <rPr>
        <b/>
        <sz val="11"/>
        <color rgb="FF000000"/>
        <rFont val="Arial"/>
        <family val="2"/>
      </rPr>
      <t xml:space="preserve"> </t>
    </r>
    <r>
      <rPr>
        <sz val="11"/>
        <color rgb="FF000000"/>
        <rFont val="Arial"/>
        <family val="2"/>
      </rPr>
      <t>(mesi)</t>
    </r>
  </si>
  <si>
    <r>
      <rPr>
        <b/>
        <sz val="12"/>
        <color rgb="FF000000"/>
        <rFont val="Arial"/>
        <family val="2"/>
      </rPr>
      <t>Ciclo di vita</t>
    </r>
    <r>
      <rPr>
        <b/>
        <sz val="11"/>
        <color rgb="FF000000"/>
        <rFont val="Arial"/>
        <family val="2"/>
      </rPr>
      <t xml:space="preserve"> </t>
    </r>
    <r>
      <rPr>
        <sz val="11"/>
        <color rgb="FF000000"/>
        <rFont val="Arial"/>
        <family val="2"/>
      </rPr>
      <t>(mesi)</t>
    </r>
  </si>
  <si>
    <t>Letteratura scientifica</t>
  </si>
  <si>
    <r>
      <t xml:space="preserve">Tempo di consegna massimo
</t>
    </r>
    <r>
      <rPr>
        <sz val="12"/>
        <color rgb="FF000000"/>
        <rFont val="Arial"/>
        <family val="2"/>
      </rPr>
      <t xml:space="preserve"> </t>
    </r>
    <r>
      <rPr>
        <sz val="11"/>
        <color rgb="FF000000"/>
        <rFont val="Arial"/>
        <family val="2"/>
      </rPr>
      <t>(in gg lavorativi)</t>
    </r>
  </si>
  <si>
    <t>Note Aggiuntive</t>
  </si>
  <si>
    <t>Anche</t>
  </si>
  <si>
    <t>H</t>
  </si>
  <si>
    <t>Ginocchi</t>
  </si>
  <si>
    <t>Ginocchi non a controllo elettronico per la vita quotidiana</t>
  </si>
  <si>
    <t>KM</t>
  </si>
  <si>
    <t>Ginocchi a controllo elettronico di tipo passivo</t>
  </si>
  <si>
    <t>KEP</t>
  </si>
  <si>
    <t>Ginocchi a controllo elettronico di tipo ibrido</t>
  </si>
  <si>
    <t>KEI</t>
  </si>
  <si>
    <t>Ginocchi a controllo elettronico di tipo attivo</t>
  </si>
  <si>
    <t>KEA</t>
  </si>
  <si>
    <t>Ginocchi per lo sport</t>
  </si>
  <si>
    <t>KS</t>
  </si>
  <si>
    <t>Piedi</t>
  </si>
  <si>
    <t>Piedi non in materiale composito</t>
  </si>
  <si>
    <t>FNC</t>
  </si>
  <si>
    <t>Piedi in materiale composito</t>
  </si>
  <si>
    <t>FMC</t>
  </si>
  <si>
    <t>Piedi con caviglia a controllo elettronico</t>
  </si>
  <si>
    <t>FE</t>
  </si>
  <si>
    <t>Piedi per lo sport</t>
  </si>
  <si>
    <t>FS</t>
  </si>
  <si>
    <t>Moduli</t>
  </si>
  <si>
    <t>Moduli per protesi di arto inferiore</t>
  </si>
  <si>
    <t>M</t>
  </si>
  <si>
    <t>Invasature arto inferiore</t>
  </si>
  <si>
    <t>MI</t>
  </si>
  <si>
    <t>Moduli di collegamento per impianti osteointegrati di arto superiore</t>
  </si>
  <si>
    <t>MOS</t>
  </si>
  <si>
    <t>Moduli di collegamento per impianti osteointegrati di arto inferiore</t>
  </si>
  <si>
    <t>MOI</t>
  </si>
  <si>
    <t>Cover in stampa 3D</t>
  </si>
  <si>
    <t>M3D</t>
  </si>
  <si>
    <t>Cuffie</t>
  </si>
  <si>
    <t>Cuffie per arto superiore e inferiore</t>
  </si>
  <si>
    <t>L</t>
  </si>
  <si>
    <t>Ginocchiere</t>
  </si>
  <si>
    <t>Ginocchiera</t>
  </si>
  <si>
    <t>S</t>
  </si>
  <si>
    <t>Arto superiore</t>
  </si>
  <si>
    <t>Kit protesi estetica o con pollice a molla fino al livello transomerale</t>
  </si>
  <si>
    <t>UES</t>
  </si>
  <si>
    <t>Kit protesi cinematica fino al livello transomerale</t>
  </si>
  <si>
    <t>UCT</t>
  </si>
  <si>
    <t>Protesi cinematiche per amputazioni a livello della mano</t>
  </si>
  <si>
    <t>UCM</t>
  </si>
  <si>
    <t>Kit protesi mioelettrica con mano a presa tridigitale fino al livello transomerale</t>
  </si>
  <si>
    <t>UMT</t>
  </si>
  <si>
    <t>Dispositivi speciali per lo sport e attività ricreative</t>
  </si>
  <si>
    <t>US</t>
  </si>
  <si>
    <t>U3D</t>
  </si>
  <si>
    <t>Invasature in tessuto per arto superiore</t>
  </si>
  <si>
    <t>UI</t>
  </si>
  <si>
    <t>Mani poliarticolate</t>
  </si>
  <si>
    <t>Kit mani poliarticolate</t>
  </si>
  <si>
    <t>PO</t>
  </si>
  <si>
    <t>Ortesi</t>
  </si>
  <si>
    <t>Kit HKAFO non a controllo elettronico</t>
  </si>
  <si>
    <t>ONE</t>
  </si>
  <si>
    <t>Componenti per ortesi di arto inferiore a controllo elettronico</t>
  </si>
  <si>
    <t>OCE</t>
  </si>
  <si>
    <t>ID Macrocategoria</t>
  </si>
  <si>
    <r>
      <t xml:space="preserve">Categoria
</t>
    </r>
    <r>
      <rPr>
        <sz val="11"/>
        <rFont val="Arial"/>
        <family val="2"/>
      </rPr>
      <t>(descrizione sintetica)</t>
    </r>
  </si>
  <si>
    <t>Definizione Requisiti Minimi</t>
  </si>
  <si>
    <r>
      <rPr>
        <b/>
        <sz val="12"/>
        <color rgb="FF000000"/>
        <rFont val="Arial"/>
        <family val="2"/>
      </rPr>
      <t xml:space="preserve">Si riscontrano criticità nella definizione requisiti minimi?
</t>
    </r>
    <r>
      <rPr>
        <sz val="11"/>
        <color rgb="FF000000"/>
        <rFont val="Arial"/>
        <family val="2"/>
      </rPr>
      <t>(In caso di risposta affermativa, argomentare con eventuali motivazioni)</t>
    </r>
  </si>
  <si>
    <r>
      <t xml:space="preserve">Kit minimo 
</t>
    </r>
    <r>
      <rPr>
        <sz val="11"/>
        <color rgb="FF000000"/>
        <rFont val="Arial"/>
        <family val="2"/>
      </rPr>
      <t>(compreso nel prezzo)</t>
    </r>
  </si>
  <si>
    <r>
      <t xml:space="preserve">E' possibile fornire tutti gli elementi indicati nel Kit minimo?
</t>
    </r>
    <r>
      <rPr>
        <sz val="11"/>
        <color rgb="FF000000"/>
        <rFont val="Arial"/>
        <family val="2"/>
      </rPr>
      <t>(In caso di risposta negativa, argomentare con eventuali motivazioni)</t>
    </r>
  </si>
  <si>
    <r>
      <t xml:space="preserve">Prezzo di mercato della categoria
</t>
    </r>
    <r>
      <rPr>
        <sz val="11"/>
        <rFont val="Arial"/>
        <family val="2"/>
      </rPr>
      <t>(Considerato come il prezzo del kit minimo comprendente il modello da voi offerto più costoso)</t>
    </r>
  </si>
  <si>
    <t>H.1</t>
  </si>
  <si>
    <t xml:space="preserve">Articolazione anca monocentrica e relativo kit con molla di estensione </t>
  </si>
  <si>
    <t>- articolazione
- piastra di laminazione
- elementi strutturali necessari per il montaggio e la regolazione dell'articolazione per i quali non sia individuabile una specifica categoria del lotto "moduli"</t>
  </si>
  <si>
    <t>H.2</t>
  </si>
  <si>
    <t>Articolazione anca monocentrica con controllo idraulico</t>
  </si>
  <si>
    <t>- articolazione
- piastra di laminazione
-  elementi strutturali necessari per il montaggio e la regolazione dell'articolazione per i quali non sia individuabile una specifica categoria del lotto "moduli"</t>
  </si>
  <si>
    <t>H.3</t>
  </si>
  <si>
    <t xml:space="preserve">Anche </t>
  </si>
  <si>
    <t>Articolazione anca policentrica con controllo idraulico</t>
  </si>
  <si>
    <t>KM.1</t>
  </si>
  <si>
    <t>Ginocchi meccanici monocentrici o policentrici in titanio</t>
  </si>
  <si>
    <t>- ginocchio
- elementi strutturali necessari per il montaggio e la regolazione dell'articolazione per i quali non sia individuabile una specifica categoria del lotto "moduli"
- eventuale cover di protezione</t>
  </si>
  <si>
    <t>KM.2</t>
  </si>
  <si>
    <t>Ginocchi meccanici monocentrici o policentrici in lega leggera</t>
  </si>
  <si>
    <t>- ginocchio 
- elementi strutturali necessari per il montaggio e la regolazione dell'articolazione per i quali non sia individuabile una specifica categoria del lotto "moduli"
- eventuale cover di protezione
- eventuale set di ammortizzatori e spessori</t>
  </si>
  <si>
    <t>KM.3</t>
  </si>
  <si>
    <t>Ginocchi meccanici monocentrici o policentrici in lega leggera da bambino</t>
  </si>
  <si>
    <t>KM.4</t>
  </si>
  <si>
    <t>Ginocchi meccanici in titanio monocentrici o policentrici con opzione di bloccaggio manuale.</t>
  </si>
  <si>
    <t>KM.5</t>
  </si>
  <si>
    <t>Ginocchi meccanici in lega leggera monocentrici o policentrici con opzione di bloccaggio manuale.</t>
  </si>
  <si>
    <t>KM.6</t>
  </si>
  <si>
    <t>Ginocchi meccanici monocentrici con opzione di bloccaggio manuale, idoneo per protesi da bagno</t>
  </si>
  <si>
    <t>KM.7</t>
  </si>
  <si>
    <t>Ginocchi meccanici  policentrici con opzione di bloccaggio manuale, idoneo per protesi da bagno</t>
  </si>
  <si>
    <t>KM.8</t>
  </si>
  <si>
    <t>Ginocchi idraulici o pneumatici monocentrici</t>
  </si>
  <si>
    <t>KM.9</t>
  </si>
  <si>
    <t>Ginocchi idraulici o pneumatici monocentrici ma  idoneo per protesi da bagno</t>
  </si>
  <si>
    <t>KM.10</t>
  </si>
  <si>
    <t>Ginocchi idraulici o pneumatici policentrici</t>
  </si>
  <si>
    <t>- ginocchio
- elementi strutturali necessari per il montaggio e la regolazione dell'articolazione per i quali non sia individuabile una specifica categoria del lotto "moduli"
- eventuale cover di protezione
- set di ammortizzatori o spessori</t>
  </si>
  <si>
    <t>KEP.1</t>
  </si>
  <si>
    <t xml:space="preserve">- ginocchio 
- eventuale tubo sensorizzato
- elementi strutturali necessari per il montaggio e la regolazione dell'articolazione per i quali non sia individuabile una specifica categoria del lotto "moduli"
- eventuale cover di protezione.
- unità di alimentazione
- caricatore della batteria corredato di tutti i cavi e prese di alimentazione 
- software dedicato per personalizzazione e controllo dei parametri funzionali.
- garanzia non inferiore a 6 anni
</t>
  </si>
  <si>
    <t>KEP.2</t>
  </si>
  <si>
    <t>Ginocchio dotato di sensori elettronici e microprocessore per il controllo continuo delle fasi di appoggio e oscillazione del cammino caratterizzato da un comportamento di default dell'articolazione a bassa resistenza tale da rendere la fase di oscillazione particolarmente agevole anche quando si compiono passi corti. Il sistema deve adattare dinamicamente il comportamento del ginocchio alle diverse condizioni di deambulazione, garantendo elevata sicurezza durante la postura ortostatica, il cammino, il superamento di rampe e pendenze, la fase di seduta e di rialzata. Devono essere presenti funzioni di prevenzione delle cadute, gestione dall'inciampo e gestione assistita della discesa di rampe. Il ginocchio deve prevedere un sistema di blocco manuale in estensione. Il ginocchio deve resistere almeno agli agenti atmosferici inclusi spruzzi diretti di d'acqua dolce. Il dispositivo deve consentire la personalizzazione dei parametri funzionali mediante software dedicato.  Deve essere presente almeno la possibilità di adattare il ginocchio all'utilizzo con la bicicletta (minima resistenza) e il ripristino preferibilmente automatico della funzione di cammino al termine dell'uso della bicicletta. Il software deve potere registrare e rendere disponibile indicatori di utilizzo effettivo dell'articolazione. L'articolazione deve essere indicata almeno per amputazione transfemorale e preferibilmente anche per disarticolazione del ginocchio, dell'anca o emipelvectomia. La possibilità di monitoraggio remoto per valutazione dell'attività e diagnostica è auspicata. 
- peso massimo del paziente: non inferiore a 110 kg
- peso componente: non superiore a 1600 g
-angolo flessione: non inferiore a 115°
- Grado mobilità: da K2 a K3</t>
  </si>
  <si>
    <t>KEP.3</t>
  </si>
  <si>
    <t>KEP.4</t>
  </si>
  <si>
    <t>Ginocchio dotato di sensori elettronici e microprocessore per il controllo continuo delle fasi di appoggio e oscillazione del cammino caratterizzato da un comportamento di default dell'articolazione ad alta resistenza tale da consentire la massima sicurezza dell'utente durante la fase di appoggio, anche repentina e tale da permettere all'articolazione di essere in sicurezza a batteria esaurita. Il sistema deve adattare dinamicamente il comportamento del ginocchio alle diverse condizioni di deambulazione, garantendo elevata sicurezza durante la postura ortostatica, il cammino, il superamento di rampe e pendenze, la fase di seduta e di rialzata. Devono essere presenti funzioni di prevenzione delle cadute, gestione dall'inciampo e gestione assistita della discesa di rampe. Il ginocchio deve prevedere la possibilità di rimanere flesso in sicurezza in condizioni ortostatiche. Il ginocchio deve resistere almeno agli agenti atmosferici e a spruzzi d'acqua dolce diretti. Il dispositivo deve consentire la personalizzazione dei parametri funzionali mediante software dedicato. Deve essere presente almeno la possibilità di adattare il ginocchio all'utilizzo con la bicicletta (minima resistenza) e il ripristino preferibilmente automatico della funzione di cammino al termine dell'uso della bicicletta. Il software deve potere registrare e rendere disponibile indicatori di utilizzo effettivo dell'articolazione. La possibilità di monitoraggio remoto per valutazione dell'attività e diagnostica è auspicata. L'articolazione deve essere indicata almeno per amputazione transfemorale e preferibilmente anche per disarticolazione del ginocchio, dell'anca o emipelvectomia.
- peso massimo del paziente: non inferiore a 135 kg
- peso componente: non superiore a 1400 g
- angolo flessione: non inferiore a 120°
- grado mobilità: da K2 a K4</t>
  </si>
  <si>
    <t>KEP.5</t>
  </si>
  <si>
    <t>KEI.1</t>
  </si>
  <si>
    <t>Ginocchi elettronici con microprocessore ibridi</t>
  </si>
  <si>
    <t>KEA.1</t>
  </si>
  <si>
    <t>Ginocchi attivi</t>
  </si>
  <si>
    <t>KS.1</t>
  </si>
  <si>
    <t>Ginocchi specifici per la corsa</t>
  </si>
  <si>
    <t>- ginocchio e 
- bumper se presenti
- elementi strutturali necessari per il montaggio e la regolazione dell'articolazione per i quali non sia individuabile una specifica categoria del lotto "moduli"</t>
  </si>
  <si>
    <t>KS.2</t>
  </si>
  <si>
    <t>Ginocchi specifici per sport invernali o motociclismo</t>
  </si>
  <si>
    <t>- ginocchio 
- bumber se presenti
- cover se presenti
- elementi strutturali necessari per il montaggio e la regolazione dell'articolazione per i quali non sia individuabile una specifica categoria del lotto "moduli"</t>
  </si>
  <si>
    <t>FNC.1</t>
  </si>
  <si>
    <t>Piede SACH</t>
  </si>
  <si>
    <t>- piede
- eventuale attacco piede 
- eventuale adattatore piede 
- eventuale piastra per piede 
- eventuale malleolo
- elementi strutturali necessari per il montaggio e la regolazione dell'articolazione per i quali non sia individuabile una specifica categoria del lotto "moduli"</t>
  </si>
  <si>
    <t>FNC.2</t>
  </si>
  <si>
    <t>Piede dinamico</t>
  </si>
  <si>
    <t>- piede
- eventuale attacco piede
- eventuale adattatore piede 
- eventuale piastra per piede 
- eventuale malleolo
- elementi strutturali necessari per il montaggio e la regolazione dell'articolazione per i quali non sia individuabile una specifica categoria del lotto "moduli"</t>
  </si>
  <si>
    <t>FNC.3</t>
  </si>
  <si>
    <t>Piede in legno/materiale plastico e schiuma polimerica con articolazione meccanica</t>
  </si>
  <si>
    <t>-piede
- articolazione 
- eventuale piastra per piede 
- elementi strutturali necessari per il montaggio e la regolazione dell'articolazione per i quali non sia individuabile una specifica categoria del lotto "moduli"</t>
  </si>
  <si>
    <t>FNC.4</t>
  </si>
  <si>
    <t>Piede in legno/materiale plastico e schiuma polimerica per protesi da bagno</t>
  </si>
  <si>
    <t>FMC.1</t>
  </si>
  <si>
    <t>FMC.2</t>
  </si>
  <si>
    <t>FMC.3</t>
  </si>
  <si>
    <t>- piede
-eventuali attacchi modulari differenti da quelli di normale fornitura.
- eventuale cuneo tallone
- cover anatomica con calza
- elementi strutturali necessari per il montaggio e la regolazione dell'articolazione per i quali non sia individuabile una specifica categoria del lotto "moduli"
- eventuale sistema di sospensione a "vuoto attivo "se non separabile dal piede, ovvero offribile nella categoria L.14</t>
  </si>
  <si>
    <t>FMC.4</t>
  </si>
  <si>
    <t xml:space="preserve">- piede
- cover anatomica con calza
- eventuali zeppe con tacco per piede
- elementi strutturali necessari per il montaggio e la regolazione dell'articolazione per i quali non sia individuabile una specifica categoria del lotto "moduli"
</t>
  </si>
  <si>
    <t>FMC.5</t>
  </si>
  <si>
    <t>- piede
- eventuale cuneo tallone
- cover anatomica con calza
- elementi strutturali necessari per il montaggio e la regolazione dell'articolazione per i quali non sia individuabile una specifica categoria del lotto "moduli"
- eventuale sistema di sospensione a "vuoto attivo "se non separabile dal piede, ovvero offribile nella categoria L.14</t>
  </si>
  <si>
    <t>FMC.6</t>
  </si>
  <si>
    <t>- piede
- cover anatomica con calza
- elementi strutturali necessari per il montaggio e la regolazione dell'articolazione per i quali non sia individuabile una specifica categoria del lotto "moduli"</t>
  </si>
  <si>
    <t>FMC.7</t>
  </si>
  <si>
    <t xml:space="preserve">Soletta in carbonio non per laminazione </t>
  </si>
  <si>
    <t>- elementi strutturali necessari per il montaggio e la regolazione dell'articolazione per i quali non sia individuabile una specifica categoria del lotto "moduli"</t>
  </si>
  <si>
    <t>FMC.8</t>
  </si>
  <si>
    <t xml:space="preserve">Lamina in carbonio integrabile mediante laminazione in protesi per amputazioni dalla parziale di piede. </t>
  </si>
  <si>
    <t>- lamina
- kit laminazione
- elementi strutturali necessari per il montaggio e la regolazione dell'articolazione per i quali non sia individuabile una specifica categoria del lotto "moduli"</t>
  </si>
  <si>
    <t>FMC.9</t>
  </si>
  <si>
    <t>Piede in materiale composito</t>
  </si>
  <si>
    <t>Piede realizzato in materiale composito  adatto fino alla categoria K2 compresa</t>
  </si>
  <si>
    <t>- modulo piede con attacco piramidale maschio 
- kit cover anatomica con calza 
- elementi strutturali necessari per il montaggio e la regolazione dell'articolazione per i quali non sia individuabile una specifica categoria del lotto "moduli"</t>
  </si>
  <si>
    <t>FE.1</t>
  </si>
  <si>
    <t>- piede
- cover anatomica con calza
- elementi strutturali necessari per il montaggio e la regolazione dell'articolazione per i quali non sia individuabile una specifica categoria del lotto "moduli"
- caricabatteria con cavo d'interfaccia
- garanzia non inferiore a 5 anni
- software dedicato per personalizzazione e controllo dei parametri funzionali.
- eventuale sistema di sospensione a "vuoto attivo "se non separabile dal piede, ovvero offribile nella categoria L.14</t>
  </si>
  <si>
    <t>FS.1</t>
  </si>
  <si>
    <t>Piede specifico per corsa, sprinting e salto in lungo con forma a J</t>
  </si>
  <si>
    <t xml:space="preserve">- piede
- elementi strutturali necessari per il montaggio e la regolazione dell'articolazione per i quali non sia individuabile una specifica categoria del lotto "moduli"
- soletta chiodata </t>
  </si>
  <si>
    <t>FS.2</t>
  </si>
  <si>
    <t>Piede specifico per corsa, sprinting e salto in lungo con forma a C</t>
  </si>
  <si>
    <t xml:space="preserve">- piede
- elementi strutturali necessari per il montaggio e la regolazione dell'articolazione per i quali non sia individuabile una specifica categoria del lotto "moduli"
- eventuale set zeppa per tallone
- soletta chiodata
</t>
  </si>
  <si>
    <t>FS.3</t>
  </si>
  <si>
    <t>Piede articolato per sci e snowboard</t>
  </si>
  <si>
    <t xml:space="preserve">- piede
- elementi strutturali necessari per il montaggio e la regolazione dell'articolazione per i quali non sia individuabile una specifica categoria del lotto "moduli"
- eventuale clip di bloccaggio del piede
</t>
  </si>
  <si>
    <t>FS.4</t>
  </si>
  <si>
    <t>Attacchi modulari speciali</t>
  </si>
  <si>
    <t>- Adattatore completo di tutti gli elementi necessari al montaggio (come viti)</t>
  </si>
  <si>
    <t>FS.5</t>
  </si>
  <si>
    <t>Altri attacchi speciali</t>
  </si>
  <si>
    <t xml:space="preserve">- Adattatore completo di tutti gli elementi necessari al montaggio (come viti) </t>
  </si>
  <si>
    <t>FS.6</t>
  </si>
  <si>
    <t>Piastrina di laminazione</t>
  </si>
  <si>
    <t>- piastra di collegamento per laminazione diretta con elemento di ancoraggio (se previsto dal costruttore);
- viteria dedicata;
- elementi di fissaggio e montaggio necessari all'installazione;</t>
  </si>
  <si>
    <t>M.1</t>
  </si>
  <si>
    <t>Adattatori in lega leggera, acciaio inossidabile per il collegamento della componentistica modulare</t>
  </si>
  <si>
    <t>- Adattatore completo di tutti gli elementi necessari al montaggi</t>
  </si>
  <si>
    <t>M.2</t>
  </si>
  <si>
    <t>Adattatori in titanio per il collegamento della componentistica modulare</t>
  </si>
  <si>
    <t>M.3</t>
  </si>
  <si>
    <t xml:space="preserve">Adattatori in lega leggera o acciaio inossidabile con inclinazione  </t>
  </si>
  <si>
    <t>M.4</t>
  </si>
  <si>
    <t>Adattatori in lega leggera o acciaio inossidabile a slitta</t>
  </si>
  <si>
    <t>M.5</t>
  </si>
  <si>
    <t>Tubo in lega leggera o  acciaio inossidabile  con relativo adattatore</t>
  </si>
  <si>
    <t>- Tubo
- eventuali altri elementi necessari al montaggio e alla regolazione</t>
  </si>
  <si>
    <t>M.6</t>
  </si>
  <si>
    <t>Tubo in titanio o acciaio inossidabile filettato</t>
  </si>
  <si>
    <t>M.7</t>
  </si>
  <si>
    <t xml:space="preserve">Tubo telescopico con lunghezza regolabile in acciaio inossidabile o lega leggera </t>
  </si>
  <si>
    <t>- adattatore a morsetto
- n°2 tubi di lunghezza graduata</t>
  </si>
  <si>
    <t>M.8</t>
  </si>
  <si>
    <t xml:space="preserve">Attacchi con flange in acciaio inossidabile con nucleo piramidale  </t>
  </si>
  <si>
    <t>- Attacco comprensivo di nucleo piramidale
- dima di laminazione
- eventuali altri elementi necessari al montaggio e alla regolazione</t>
  </si>
  <si>
    <t>M.9</t>
  </si>
  <si>
    <t>Sistema modulare di disconnessione rapida per protesi di arto inferiore</t>
  </si>
  <si>
    <t xml:space="preserve">- elemento base con meccanismo di aggancio e sgancio rapido;
- n°2 elemento di connessione compatibili con il sistema modulare protesico, come attacco piramidale, ricevitore piramidale, attacco filettato;
- eventuali altri elementi necessari al montaggio e alla regolazione
</t>
  </si>
  <si>
    <t>M.10</t>
  </si>
  <si>
    <t>Attacco a quattro fori</t>
  </si>
  <si>
    <t>- attacco a 4 fori;
- viteria dedicata;
- elementi di fissaggio e montaggio necessari all'installazione</t>
  </si>
  <si>
    <t>M.11</t>
  </si>
  <si>
    <t>M.12</t>
  </si>
  <si>
    <t>Attacco a quattro fori in plastica e legno</t>
  </si>
  <si>
    <t>M.13</t>
  </si>
  <si>
    <t>Rotatori modulari</t>
  </si>
  <si>
    <t>- rotatore modulare
- eventuali ulteriori elementi necessari al montaggio</t>
  </si>
  <si>
    <t>M.14</t>
  </si>
  <si>
    <t>Modulo con funzione di compensazione torsionale</t>
  </si>
  <si>
    <t>- smorzatore torsionale
- eventuali ulteriori elementi necessari per l'utilizzo</t>
  </si>
  <si>
    <t>M.15</t>
  </si>
  <si>
    <t xml:space="preserve">Modulo con funzione di assorbimento torsionale e assiale </t>
  </si>
  <si>
    <t>M.16</t>
  </si>
  <si>
    <t xml:space="preserve">Attacchi pediatrici in acciaio inossidabile con flange e nucleo piramidale  </t>
  </si>
  <si>
    <t>- attacco comprensivo di nucleo piramidale
- dima di laminazione
- eventuali altri elementi necessari al montaggio e alla regolazione</t>
  </si>
  <si>
    <t>M.17</t>
  </si>
  <si>
    <t>Altri moduli pediatrici</t>
  </si>
  <si>
    <t>- modulo offerto
- viteria necessaria al montaggio e alla regolazione</t>
  </si>
  <si>
    <t>M.18</t>
  </si>
  <si>
    <t>Moduli speciali per la componentistica da bagno</t>
  </si>
  <si>
    <t>- modulo specifico
- ulteriori elementi necessari al montaggio e alla personalizzazione</t>
  </si>
  <si>
    <t>MI.1</t>
  </si>
  <si>
    <t>Attacco di collegamento integrato con maglie in fibra di vetro, carbonio per la realizzazione di invasature di arto inferiore</t>
  </si>
  <si>
    <t>- attacco di collegamento con maglie (tubolare) in materiale composito
- eventuali tubolari isolanti in silicone 
- eventuali cappucci isolanti in silicone 
- eventuale resina con miscelatore statico 
- eventuale anello specifico in silicone utilizzato per invasatura per amputazioni transfemorali
- eventuali elementi speciali di protezione dell'utente necessari alla realizzazione dell'invasatura
- eventuale nastro in tessuto copri bordo
- eventuali elementi distanziatori 
- eventuali ulteriori elementi o strumenti necessari per la realizzazione dell'invasatura</t>
  </si>
  <si>
    <t>MI.2</t>
  </si>
  <si>
    <t>Kit per la presa misura di invasature di arto inferiore realizzate con maglie in materiale composito e attacco di collegamento integrato.</t>
  </si>
  <si>
    <t xml:space="preserve">Il sistema deve consentire la produzione di invasature di arto inferiore realizzate con maglie in materiale composito e attacco di collegamento integrato, direttamente customizzate sul paziente anche in condizioni di carico. </t>
  </si>
  <si>
    <t>MI.3</t>
  </si>
  <si>
    <t>Invasature modulari o adattabili per protesi transfemorali</t>
  </si>
  <si>
    <t xml:space="preserve">Invasature o set di componenti modulari per invasatura per protesi transfemorali o disarticolazione d'anca adattabili dal tecnico ortopedico direttamente sul paziente o sul modello positivo. Sono comprese sia invasature prefabbricate da adattare direttamente sul modello positivo, eventualmente riadattabili per termoformatura, ovvero kit di moduli per invasature transfemorali o disarticolazione d'anca che consentano la regolazione dell'invasatura per adattarsi alle variazioni volumetriche del moncone e consentano l'appoggio o il contenimento dell'ischio.
Eventuali attrezzature specifiche per l'adattamento devono essere quotate come accessori. </t>
  </si>
  <si>
    <t xml:space="preserve">- invasatura o kit completo di moduli per la realizzazione dell'invasatura/bustino
- ulteriori elementi o strumenti necessari al montaggio e alla personalizzazione </t>
  </si>
  <si>
    <t>MI.4</t>
  </si>
  <si>
    <t>Invasature modulari o adattabili per protesi transtibiale</t>
  </si>
  <si>
    <t>Invasature per protesi transtibiali adattabili dal tecnico ortopedico direttamente sul paziente o sul modello positivo.  Comprende sia invasature prefabbricate da adattare direttamente sul modello, eventualmente riadattabili per termoformature, ovvero invasature costituite da moduli con possibilità di regolazione per adattarsi alle variazioni volumetriche del moncone.
Eventuali attrezzature specifiche per l'adattamento devono essere quotate come accessori.</t>
  </si>
  <si>
    <t>- invasatura
- ulteriori elementi necessari al montaggio e alla personalizzazione 
- strumento per la preparazione dell'invasatura o l'adattamento sul paziente</t>
  </si>
  <si>
    <t>MOS.1</t>
  </si>
  <si>
    <t>Kit di collegamento tra impianto osteointegrato e protesi di arto superiore</t>
  </si>
  <si>
    <t xml:space="preserve">Il sistema deve consentire il collegamento tra impianto osteointegrato, posizionato in sede chirurgica, e protesi di arto superiore di tipo cinematico, estetico e mioelettico a livello transomerale. Il sistema può essere offerto sono per impianti osteointegrati dotati delle opportune certificazioni di legge secondo l'MDR745/2017 per le amputazioni dell'arto superiore per il livello transomerale. Deve essere prodotta documentazione che attesti un record di impianti non inferiore a 5 anni. </t>
  </si>
  <si>
    <t xml:space="preserve">- kit completo di tutti gli accessori necessari al montaggio, ivi compresi eventuali sistemi di adattamento della lunghezza </t>
  </si>
  <si>
    <t>MOS.2</t>
  </si>
  <si>
    <t>Kit di addestramento per carico su impianti osteointegrati di arto superiore</t>
  </si>
  <si>
    <t xml:space="preserve">Il sistema ha l'obiettivo di consentire la fase di addestramento al carico su impianti osteointegrati di arto superiore a livello transomerale. Il sistema può essere offerto sono per impianti osteointegrati dotati delle opportune certificazioni di legge secondo l'MDR745/2017 per le amputazioni dell'arto superiore per il livello transomerale. Deve essere prodotta documentazione che attesti un record di impianti non inferiore a 5 anni. </t>
  </si>
  <si>
    <t>- kit completo di tutti gli accessori necessari per completare la procedura di carico progressivo</t>
  </si>
  <si>
    <t>MOI.1</t>
  </si>
  <si>
    <t>Kit di collegamento tra impianto inferiore</t>
  </si>
  <si>
    <t xml:space="preserve">Il sistema deve consentire il collegamento tra impianto osteointegrato, posizionato in sede chirurgica, e protesi di arto inferiore a livello transfemorale. Il sistema può essere offerto sono per impianti osteointegrati dotati delle opportune certificazioni di legge secondo l'MDR745/2017 per le amputazioni dell'arto inferiore per il livello transfemorale. Deve essere prodotta documentazione che attesti un record di impianti non inferiore a 5 anni. </t>
  </si>
  <si>
    <t>- kit completo di tutti gli accessori necessari al montaggio, ivi compresi eventuali sistemi di adattamento della lunghezza o della flessione</t>
  </si>
  <si>
    <t>MOI.2</t>
  </si>
  <si>
    <t>Calza estetica predisposto per arto inferiore</t>
  </si>
  <si>
    <t>- calza estetica in silicone</t>
  </si>
  <si>
    <t>M3D.1</t>
  </si>
  <si>
    <t>Cover in stampa 3D per amputazioni di arto inferiore con messa a misura da parte del tecnico ortopedico</t>
  </si>
  <si>
    <t xml:space="preserve">Cover per protesi di arto inferiore, realizzata in stampa 3D con personalizzazione diretta da parte del tecnico ortopedico. La cover deve quindi potere essere messa a misura, almeno per quanto concerne la lunghezza complessiva, direttamente da parte del tecnico al momento della consegna. La cover deve prevedere non meno di 5 varianti di disegno e colore. </t>
  </si>
  <si>
    <t>- cover estetica
- eventuali viti o elementi necessari per il fissaggio della cover
- eventuali strumenti per la rilevazione della misura sul paziente devono essere forniti in comodato d'uso gratuito, pronti all'uso</t>
  </si>
  <si>
    <t>M3D.2</t>
  </si>
  <si>
    <t>Cover rigida in stampa 3D con forma realizzata su misura per il singolo assistito</t>
  </si>
  <si>
    <t xml:space="preserve">Cover estetica per protesi di arto inferiore, realizzata su misura per il singolo assistito mediante tecnologia stampa 3D in materiale rigido.
La cover deve essere personalizzabile con disegni e colori selezionabili da catalogo e deve prevedere la possibilità di inserimento di logo fornito dal cliente, nonché l’esecuzione di piccole personalizzazioni grafiche sui disegni. La cover deve prevedere non meno di 15 varianti di disegno e colore. </t>
  </si>
  <si>
    <t>M3D.3</t>
  </si>
  <si>
    <t>Cover in stampa 3D per personale con amputazione transfemorale comprensiva di ginocchio e copertura della parte distale della coscia con messa a misura da parte del tecnico ortopedico</t>
  </si>
  <si>
    <t xml:space="preserve">Cover estetica per protesi transfemorale, realizzata mediante tecnologia di stampa 3D, comprensiva di ginocchio e copertura della parte distale della coscia.
La cover deve essere progettata su misura per il singolo assistito, con colori e disegni selezionabili da un catalogo, e consentire la personalizzazione diretta da parte del tecnico ortopedico per quanto attiene la parte di copertura della porzione distale della coscia. Deve essere compresa la possibilità di inserire un logo fornito dal cliente e piccole personalizzazioni grafiche sui disegni. La cover deve prevedere non meno di 15 varianti di disegno e colore. </t>
  </si>
  <si>
    <t>M3D.4</t>
  </si>
  <si>
    <t>Cover in stampa 3D realizzata in materiale flessibile con forma realizzata su misura per il singolo assistito</t>
  </si>
  <si>
    <t xml:space="preserve">Cover estetica per protesi di arto inferiore, realizzata su misura per il singolo assistito mediante tecnologia stampa 3D in materiale flessibile. La cover deve essere personalizzabile con disegni e colori selezionabili da catalogo e deve prevedere la possibilità di inserimento di un logo fornito dal cliente, oltre a piccole personalizzazioni grafiche sui disegni. La cover deve prevedere non meno di 15 varianti di disegno e colore. </t>
  </si>
  <si>
    <t>L.1</t>
  </si>
  <si>
    <t>Cuffia per sospensione senza attacco distale  realizzata in elastomero termoplastico (TPE), stirene o copolimero con o senza rivestimento in tessuto</t>
  </si>
  <si>
    <t>Cuffia con o senza rivestimento in tessuto, realizzata in elastomero termoplastico (TPE), stirene o copolimero senza attacco distale e senza anelli da utilizzare in associazione ad altro sistema di sospensione (ginocchiera). 
Prodotti con spessori (uniforme o rastremata) e forme differenti (conica, cilindrica) sono da considerarsi modelli distinti.</t>
  </si>
  <si>
    <t>- cuffia</t>
  </si>
  <si>
    <t>L.2</t>
  </si>
  <si>
    <t>Cuffia per sospensione senza attacco distale  realizzata in silicone medicale con o senza rivestimento in tessuto</t>
  </si>
  <si>
    <t>Cuffia con o senza rivestimento in tessuto, realizzata in silicone medicale senza attacco distale e senza anelli da utilizzare in associazione ad altro sistema di sospensione (ginocchiera). Prodotti con spessori (uniforme o rastremata) e forme differenti (conica, cilindrica) sono da considerare modelli distinti.</t>
  </si>
  <si>
    <t>- cuffia
- eventuale silicone specifico per sigillare la porzione prossimale della cuffia deve essere offerto come accessorio ma non costituisce parte del kit base</t>
  </si>
  <si>
    <t>L.3</t>
  </si>
  <si>
    <t>Cuffia per sospensione senza attacco distale  realizzata in poliuretano con o senza rivestimento in tessuto</t>
  </si>
  <si>
    <t>Cuffia con o senza rivestimento in tessuto, realizzata in poliuretano senza attacco distale e senza anelli da utilizzare in associazione ad altro sistema di sospensione (ginocchiera). Prodotti con spessori (uniforme o rastremata) e forme differenti (conica, cilindrica) sono da considerare modelli distinti.</t>
  </si>
  <si>
    <t>L.4</t>
  </si>
  <si>
    <t>Cuffia per sospensione, con attacco distale realizzata in TPE, stirene o copolimero con o senza rivestimento in tessuto</t>
  </si>
  <si>
    <t>- cuffia
- accessori necessari alla tipologia di attacco distale</t>
  </si>
  <si>
    <t>L.5</t>
  </si>
  <si>
    <t>Cuffia per sospensione, con attacco distale realizzata in silicone medicale con o senza rivestimento in tessuto</t>
  </si>
  <si>
    <t>- cuffia
- accessori necessari alla tipologia di attacco distale
- eventuale silicone specifico per sigillare la porzione prossimale della cuffia deve essere offerto come accessorio ma non costituisce parte del kit base</t>
  </si>
  <si>
    <t>L.6</t>
  </si>
  <si>
    <t>Cuffia in TPE, stirene o copolimero con uno o più anelli per sistema ipobarico</t>
  </si>
  <si>
    <t>Cuffia realizzata in elastomero termoplastico (TPE), stirene o copolimero con uno o più anelli integrati per sistema di sospensione ipobarico. 
Prodotti con spessori (uniforme o rastremata) e forme differenti (conica, cilindrica) sono da considerare modelli distinti.</t>
  </si>
  <si>
    <t>L.7</t>
  </si>
  <si>
    <t>Cuffia in silicone medicale con uno o più anelli integrati per sistema ipobarico</t>
  </si>
  <si>
    <t>Cuffia realizzata in silicone medicale con uno o più anelli integrati per sistema di sospensione ipobarico. 
Prodotti con spessori (uniforme o rastremata) e forme differenti (conica, cilindrica) sono da considerare modelli distinti.</t>
  </si>
  <si>
    <t>L.8</t>
  </si>
  <si>
    <t>Cuffia in silicone medicale con uno o più anelli amovibili e riposizionabili per sistema ipobarico combinato con sistema di attacco distale</t>
  </si>
  <si>
    <t>Cuffia realizzata in silicone medicale con uno o più anelli amovibili e riposizionabili per sistema di sospensione ipobarico combinato con sistema di attacco distale. 
Prodotti con spessori (uniforme o rastremata) e forme differenti (conica, cilindrica) sono da considerare modelli distinti.</t>
  </si>
  <si>
    <t>- cuffia
- anelli di sospensione
- eventuale silicone specifico per sigillare la porzione prossimale della cuffia deve essere offerto come accessorio ma non costituisce parte del kit base</t>
  </si>
  <si>
    <t>L.9</t>
  </si>
  <si>
    <t>Cuffia in silicone medicale con uno o più anelli amovibili e riposizionabili per sistema ipobarico</t>
  </si>
  <si>
    <t>Cuffia realizzata in silicone medicale con uno o più anelli amovibili e riposizionabili per sistema di sospensione ipobarico. 
Prodotti con spessori (uniforme o rastremata) e forme differenti (conica, cilindrica) sono da considerare modelli distinti.</t>
  </si>
  <si>
    <t>L.10</t>
  </si>
  <si>
    <t>Cuffia in elastomero termoplastico (TPE) o copolimero con rivestimento in tessuto con sistemi di regolazione della temperatura o della sudorazione</t>
  </si>
  <si>
    <t>Cuffia realizzata in elastomero termoplastico (TPE), stirene o copolimero con rivestimento in tessuto e sistemi di regolazione della temperatura o della sudorazione. Deve essere fornitura specifica documentazione clinica attestante il principio utilizzato per realizzare il sistema di regolazione della temperatura o della sudorazione ed evidenze cliniche di efficacia. 
Prodotti con spessori (uniforme o rastremata), forme differenti (conica, cilindrica) ed eventuale presenza di attacchi distali sono da considerare modelli distinti.</t>
  </si>
  <si>
    <t>- cuffia
- devono essere offerti anche eventuali attacco distale o sistemi di connessione magnetica o accessori necessari alla messa in opera della cuffia, ma non costituiscono base d'asta</t>
  </si>
  <si>
    <t>L.11</t>
  </si>
  <si>
    <t>Cuffia silicone medicale con rivestimento in tessuto con sistemi di regolazione della temperatura o della sudorazione</t>
  </si>
  <si>
    <t>Cuffia realizzata in silicone medicale e con sistemi di regolazione della temperatura o della sudorazione. Deve essere fornitura specifica documentazione clinica attestante il principio utilizzato per realizzare il sistema di regolazione della temperatura o della sudorazione ed evidenze cliniche di efficacia. 
Prodotti con spessori (uniforme o rastremata), forme differenti (conica, cilindrica) ed eventuale presenza di attacchi distali sono da considerare modelli distinti.</t>
  </si>
  <si>
    <t>L.12</t>
  </si>
  <si>
    <t xml:space="preserve">Cuffia realizzata su modello positivo (calco) con spessore customizzato </t>
  </si>
  <si>
    <t>L.13</t>
  </si>
  <si>
    <t>Valvola con tappo di chiusura</t>
  </si>
  <si>
    <t>Valvola con tappo di chiusura per invasature a contatto totale.
L'offerta deve essere comprensiva di tutti i componenti per l'integrazione della cuffia su estetiche di arto inferiore.</t>
  </si>
  <si>
    <t>- valvola per invasatura comprensiva di relativo anello di tenuta
- dima di laminazione
- ulteriori accessori necessari al montaggio  su invasature di arto inferiore e all'integrazione della stessa valvola su estetiche di arto inferiore</t>
  </si>
  <si>
    <t>L.14</t>
  </si>
  <si>
    <t>Sistemi ipobarici attivi e relativi kit di montaggio</t>
  </si>
  <si>
    <t>Sistemi di sottovuoto attivo e relativi kit di montaggio, comprensivo di eventuale valvola (ove prevista)</t>
  </si>
  <si>
    <t>- pompa specifica per vuoto attivo
- eventuale membrana in gomma e filtro di ingresso/uscita dell'aria 
- eventuale alloggiamento interno ed esterno della valvola 
- eventuale guarnizione specifica per la valvola
- eventuale valvola di ritenuta
- eventuale tubo specifico di collegamento tra valvola e componentistica specifica
- ogni elementi necessario alla messa in servizio del sistema e per il suo perfetto funzionamento</t>
  </si>
  <si>
    <t>L.15</t>
  </si>
  <si>
    <t>Sostegno per protesi</t>
  </si>
  <si>
    <t>Sistema di sospensione per pazienti con amputazione transfemorale o disarticolazione d’anca, realizzato in tessuto traspirante e dotato di chiusure regolabili mediante fibbie e sistemi a strappo ad elevata resistenza.
Il dispositivo deve prevedere opportuni rinforzi nelle zone di carico e rivestimenti antiscivolo, al fine di garantire un’adeguata stabilità della protesi durante l’utilizzo.
Deve inoltre assicurare elevata resistenza all’abrasione, mantenimento della forma nel tempo ed essere lavabile in lavatrice.</t>
  </si>
  <si>
    <t>- sistema di sospensione</t>
  </si>
  <si>
    <t>L.16</t>
  </si>
  <si>
    <t>Valvola per sistema ipobarico passivo</t>
  </si>
  <si>
    <t>Valvola per sistema ipobarico passivo ad una via con o senza blocco manuale</t>
  </si>
  <si>
    <t xml:space="preserve">- valvola di espulsione automatica;
- meccanismo di espulsione dell'aria;
- guarnizioni di tenuta;
- ulteriori elementi necessari al montaggio e fissaggio </t>
  </si>
  <si>
    <t>L.17</t>
  </si>
  <si>
    <t>Cuffia in TPE, copolimero o poliuretano per compensazioni volumetriche</t>
  </si>
  <si>
    <t>Cuffia per protesi di arto inferiore e superiore, realizzata in elastomero termoplastico (TPE), copolimero o poliuretano per compensare le variazioni volumetriche del moncone che possono verificarsi nell'arco della giornata durante l'utilizzo della protesi. In considerazione della specifica destinazione d'uso, il dispositivo deve poter essere indossato anche sotto cuffie realizzate in altro materiale.</t>
  </si>
  <si>
    <t>L.18</t>
  </si>
  <si>
    <t>Cuffia in silicone per compensazioni volumetriche</t>
  </si>
  <si>
    <t>Cuffia per protesi di arto inferiore e superiore, realizzata in silicone medicale per compensare le variazioni volumetriche del moncone che possono verificarsi nell'arco della giornata durante l'utilizzo della protesi. In considerazione della specifica destinazione d'uso, il dispositivo deve poter essere indossato anche sotto cuffie realizzate in altro materiale.</t>
  </si>
  <si>
    <t>L.19</t>
  </si>
  <si>
    <t>Meccanismi di ancoraggio per cuffie con chiodo (anche di tipo magnetico)</t>
  </si>
  <si>
    <t>Kit completo per cuffie di arto inferiore e superiore con attacco distale. La categorie comprende  tutti gli accessori necessari per il collegamento delle cuffie, ivi compresi i meccanismi che combinano oltre al meccanismo di ancoraggio la valvola per sistemi ipobarici. Sono compresi in questa categoria anche eventuali sistemi di connessione di tipo magnetico</t>
  </si>
  <si>
    <t xml:space="preserve">
- attacco distale (pin) per cuffia
- meccanismo di ancoraggio distale da inserire all'interno dell'invasatura
-  sistema di sospensione per indossare la protesi (sia in posizione eretta che seduto)
- eventuali ulteriori elementi necessari per il montaggio e la regolazione</t>
  </si>
  <si>
    <t>S.1</t>
  </si>
  <si>
    <t>Ginocchiere in elastomero termoplastico (TPE), stirene e copolimero</t>
  </si>
  <si>
    <t xml:space="preserve">Ginocchiera per utenti con amputazione transtibiale, a forma cilindrica, realizzata in elastomero termoplastico (TPE), stirene o altro materiale copolimerico. 
Rientrano nella categoria i dispositivi con o senza preflessione e con o senza rivestimento tessile. </t>
  </si>
  <si>
    <t>- ginocchiera</t>
  </si>
  <si>
    <t>S.2</t>
  </si>
  <si>
    <t>Ginocchiere in silicone</t>
  </si>
  <si>
    <t>Ginocchiera per utenti con amputazione transtibiale, a forma cilindrica, realizzata in silicone medicale. 
Rientrano nella categoria i dispositivi con o senza preflessione e con o senza rivestimento tessile.</t>
  </si>
  <si>
    <t>S.3</t>
  </si>
  <si>
    <t>Ginocchiere rinforzate</t>
  </si>
  <si>
    <t xml:space="preserve">Ginocchiera per utenti con amputazione transtibiale, realizzate in elastomero termoplastico (TPE), stirene o altro materiale copolimerico, dotata di specifiche porzioni interne rinforzate in corrispondenza della zona del ginocchio, finalizzate alla riduzione dell'usura causata dallo sfregamento con le alette dell'invasatura. </t>
  </si>
  <si>
    <t>S.4</t>
  </si>
  <si>
    <t>Ginocchiere specialistiche</t>
  </si>
  <si>
    <t>Ginocchiera per utenti con amputazione transtibiale, realizzate in tessuto che non faccia passare aria, con con rinforzi localizzati nelle zone prossimali e/o distali del dispositivo, al fine di assicurare adeguata sospensione e sigillatura.</t>
  </si>
  <si>
    <t>UES.1</t>
  </si>
  <si>
    <t>Mano estetica</t>
  </si>
  <si>
    <t>- mano
- connettore polso 
- elementi strutturali necessari per la connessione e regolazione del dispositivo ove non sia presente una specifica specifica categoria del lotto</t>
  </si>
  <si>
    <t>UES.2</t>
  </si>
  <si>
    <t>Guanto estetico in PVC o silicone per mano estetica</t>
  </si>
  <si>
    <t xml:space="preserve">Rivestimento estetico in PVC o silicone per mani protesiche estetiche, non su misura. Devono essere offerti guanti di lunghezza tale da coprire il solo avambraccio o estendersi fino all'omero protesico. Devono essere forniti modelli con anatomica, forma e caratteristiche morfologiche tali da essere indicati per uomo, donna e bambini.  Eventuali dispositivi che siano necessari per calzare il guanto sulla mano devono essere quotati come accessori. </t>
  </si>
  <si>
    <t>- guanto
- eventuali accessori utili per l'applicazione e regolazione del guanto.</t>
  </si>
  <si>
    <t>UES.3</t>
  </si>
  <si>
    <t>Mano con pollice a molla</t>
  </si>
  <si>
    <t>- mano: parte interna e sottoguanto se previsto
- connettore polso
- eventuali molle intercambiabili per aumentare la forza di presa
- elementi strutturali necessari per la connessione e regolazione del dispositivo ove non sia presente una specifica specifica categoria del lotto</t>
  </si>
  <si>
    <t>UES.4</t>
  </si>
  <si>
    <t>Guanto estetico in PVC o silicone per mano con pollice a molla</t>
  </si>
  <si>
    <t xml:space="preserve">Rivestimento estetico in PVC o silicone per mani protesiche con pollice a molla, non su misura. Devono essere offerti guanti di lunghezza tale da coprire il solo avambraccio o estendersi fino all'omero protesico. Devono essere forniti modelli con anatomica, forma e caratteristiche morfologiche tali da essere indicati per uomo, donna e bambini.  Eventuali dispositivi che siano necessari per calzare il guanto sulla mano devono essere quotati come accessori. </t>
  </si>
  <si>
    <t>UES.5</t>
  </si>
  <si>
    <t xml:space="preserve">Polso passivo ad un grado di libertà per protesi endoscheletriche estetiche 
</t>
  </si>
  <si>
    <t>- adattatore
- elementi strutturali per il collegamento e la regolazione della protesi (adattatori, tubi, anelli di laminazione etc.), da offrire nella specifica categoria del lotto, ove presente, oppure unitamente al componente di riferimento.</t>
  </si>
  <si>
    <t>UES.6</t>
  </si>
  <si>
    <t xml:space="preserve">Polso passivo a due gradi di libertà per protesi endoscheletriche estetiche
</t>
  </si>
  <si>
    <t>- adattatore
- elementi strutturali per il collegamento e la regolazione della protesi ( accessori, anelli di laminazione etc.), da offrire nella specifica categoria del lotto, ove presente, oppure unitamente al componente di riferimento.</t>
  </si>
  <si>
    <t>UES.7</t>
  </si>
  <si>
    <t xml:space="preserve">Gomito passivo
</t>
  </si>
  <si>
    <t>- gomito con eventuale struttura tubolare prossimali e distali e relativi attacchi
- elementi strutturali per il collegamento e la regolazione della protesi (adattatori, tubi, anelli di laminazione e simili), da offrire nella specifica categoria del lotto, ove presente, oppure unitamente al componente di riferimento.</t>
  </si>
  <si>
    <t>UES.8</t>
  </si>
  <si>
    <t>Tubi di collegamento per protesi endoscheletriche</t>
  </si>
  <si>
    <t>-Tubo di collegamento</t>
  </si>
  <si>
    <t>UES.9</t>
  </si>
  <si>
    <t>Componenti in schiuma espansa per finiture estetiche</t>
  </si>
  <si>
    <t>- Blocco modulare</t>
  </si>
  <si>
    <t>UCT.1</t>
  </si>
  <si>
    <t>Mano a controllo cinematico</t>
  </si>
  <si>
    <t>- mano: parte interna e sottoguanto se previsto 
- connettore polso
- elementi strutturali necessari per la connessione e regolazione del dispositivo ove non sia presente una specifica specifica categoria del lotto</t>
  </si>
  <si>
    <t>UCT.2</t>
  </si>
  <si>
    <t>Guanto estetico in PVC o silicone per mano cinematica</t>
  </si>
  <si>
    <t xml:space="preserve">Rivestimento estetico in PVC o silicone per mani protesiche cinematiche, non su misura. Devono essere offerti guanti di lunghezza tale da coprire il solo avambraccio o estendersi fino all'omero protesico. Devono essere forniti modelli con anatomica, forma e caratteristiche morfologiche tali da essere indicati per uomo, donna e bambini.  Eventuali dispositivi che siano necessari per calzare il guanto sulla mano devono essere quotati come accessori. </t>
  </si>
  <si>
    <t>UCT.3</t>
  </si>
  <si>
    <t>Uncino a controllo cinematico</t>
  </si>
  <si>
    <t>- uncino 
- elementi strutturali necessari per la connessione e regolazione del dispositivo ove non sia presente una specifica specifica categoria del lotto</t>
  </si>
  <si>
    <t>UCT.4</t>
  </si>
  <si>
    <t xml:space="preserve">Polso passivo a un solo grado di libertà  per protesi cinematica ed elementi di connessione con la mano. </t>
  </si>
  <si>
    <t>- polso  
- piastre di interconnessione
- elementi strutturali per il collegamento e la regolazione della protesi (giunti di connessione, adattatori, tubi, anelli di laminazione e simili), da offrire nella specifica categoria del lotto, ove presente, oppure unitamente al componente di riferimento.</t>
  </si>
  <si>
    <t>UCT.5</t>
  </si>
  <si>
    <t xml:space="preserve">Polso passivo a due gradi di libertà  per protesi cinematica ed elementi di connessione con la mano. </t>
  </si>
  <si>
    <t>- polso 
- elementi strutturali per il collegamento e la regolazione della protesi (adattatori, tubi, anelli di laminazione e simili), da offrire nella specifica categoria del lotto, ove presente, oppure unitamente al componente di riferimento.</t>
  </si>
  <si>
    <t>UCT.6</t>
  </si>
  <si>
    <t>Aste per gomito cinematico</t>
  </si>
  <si>
    <t>- aste laterali e mediali
- dime ed accessori di laminazione
-Elementi strutturali per il collegamento e la regolazione della protesi (adattatori, tubi, anelli di laminazione e simili), da offrire nella specifica categoria del lotto, ove presente, oppure unitamente al componente di riferimento.</t>
  </si>
  <si>
    <t>UCT.7</t>
  </si>
  <si>
    <t>Gomito a controllo cinematico</t>
  </si>
  <si>
    <t>- gomito
-Elementi strutturali per il collegamento e la regolazione della protesi (adattatori, dime,  tubi, anelli di laminazione e simili), da offrire nella specifica categoria del lotto, ove presente, oppure unitamente al componente di riferimento.</t>
  </si>
  <si>
    <t>UCT.8</t>
  </si>
  <si>
    <t>Cavi e bretellaggi per protesi cinematiche</t>
  </si>
  <si>
    <t>Il sistema deve comprendere i componenti necessari alla trasmissione meccanica dei movimenti dell'utilizzatore ai dispositivi protesici transradiali o transomerali di tipo cinematico, inclusi elementi di collegamento, scorrimento, regolazione, protezione e fissaggio. Tali componenti dovranno garantire efficacia della trasmissione e comfort per il paziente. I componenti devono essere presentati montati in un bretellaggio per protesi transradiale cinematica e in un bretellaggio per protesi transomerale cinematica che devono necessariamente essere offerti</t>
  </si>
  <si>
    <t>- bretellaggio montato. Le sue singole parti dovranno essere anche offerte separatamente 
- elementi strutturali per il collegamento e la regolazione della protesi, da offrire nella specifica categoria del lotto, ove presente, oppure unitamente al componente di riferimento.</t>
  </si>
  <si>
    <t>UCM.1</t>
  </si>
  <si>
    <t>Protesi cinematiche per amputazioni della falange distale</t>
  </si>
  <si>
    <t>- protesi cinematica 
- elementi strutturali necessari per la connessione e regolazione del dispositivo ove non sia presente una specifica specifica categoria del lotto
- garanzia non inferiore a 2 anni</t>
  </si>
  <si>
    <t>UCM.2</t>
  </si>
  <si>
    <t>- protesi cinematica 
- braccialino regolabile 
- elementi strutturali necessari per la connessione e regolazione del dispositivo ove non sia presente una specifica specifica categoria del lotto
- garanzia non inferiore a 2 anni</t>
  </si>
  <si>
    <t>UCM.3</t>
  </si>
  <si>
    <t>UCM.4</t>
  </si>
  <si>
    <t>UCM.5</t>
  </si>
  <si>
    <t>UCM.6</t>
  </si>
  <si>
    <t>Protesi cinematiche per amputazioni parziali di pollice (THUMB)</t>
  </si>
  <si>
    <t>UCM.7</t>
  </si>
  <si>
    <t>Protesi cinematiche per amputazione parziale del pollice associata a protesi cinematica per amputazione prossimale falangea di un dito lungo</t>
  </si>
  <si>
    <t>UCM.8</t>
  </si>
  <si>
    <t>Protesi cinematiche per amputazione parziale del pollice associata a protesi cinematica per amputazione prossimale falangea di due dita lunghe</t>
  </si>
  <si>
    <t>-protesi cinematica 
- braccialino regolabile 
- elementi strutturali necessari per la connessione e regolazione del dispositivo ove non sia presente una specifica specifica categoria del lotto
- garanzia non inferiore a 2 anni</t>
  </si>
  <si>
    <t>UCM.9</t>
  </si>
  <si>
    <t>Protesi cinematiche per amputazione parziale del pollice associata a protesi cinematica per amputazione prossimale falangea di tre dita lunghe</t>
  </si>
  <si>
    <t>UCM.10</t>
  </si>
  <si>
    <t>Protesi cinematiche per amputazione parziale del pollice associata a protesi cinematica per amputazione prossimale falangea di quattro dita lunghe</t>
  </si>
  <si>
    <t>UCM.11</t>
  </si>
  <si>
    <t xml:space="preserve">Dito cinematico per il trattamento delle amputazioni parziali della mano con possibilità di flessione a diversi gradi aiutandosi con la mano opposta o con una superficie, ovvero mediante un sistema a cavi azionati dal movimento del polso. 
Nel caso il dito possa essere flesso solo dalla mano opposta o da un elemento in opposizione, deve potersi sbloccare per avere un’estensione completa tramite una leva oppure flettendo oltre l’ultima posizione di blocco.
La struttura dovrà essere realizzata con materiali ad elevata resistenza meccanica, idonei all'utilizzo nelle attività quotidiane.
- struttura realizzata in metallo ad alta resistenza
- sistema di ancoraggio per laminazione 
</t>
  </si>
  <si>
    <t>UMT.1</t>
  </si>
  <si>
    <t>Mano a controllo mioelettrico con presa tridigitale e relativa unità di controllo</t>
  </si>
  <si>
    <t>- mano: sottoguanto e mano elettromeccanica
- eventuale anello di laminazione
- spina coassiale
- sistemi di accoppiamento
- elementi strutturali necessari per la connessione e regolazione del dispositivo ove non sia presente una specifica specifica categoria del lotto
- software dedicato per personalizzazione e controllo dei parametri funzionali.</t>
  </si>
  <si>
    <t>UMT.2</t>
  </si>
  <si>
    <t>Guanto estetico in PVC o silicone per mano mioelettrica a presa tridigitale</t>
  </si>
  <si>
    <t xml:space="preserve">Rivestimento estetico in PVC o silicone per mani protesiche con pollice a controllo mioelettrico tridigitali, non su misura. Devono essere offerti guanti di lunghezza tale da coprire il solo avambraccio o estendersi fino all'omero protesico. Devono essere forniti modelli con anatomica, forma e caratteristiche morfologiche tali da essere indicati per uomo, donna e bambini.  Eventuali dispositivi che siano necessari per calzare il guanto sulla mano devono essere quotati come accessori. </t>
  </si>
  <si>
    <t>UMT.3</t>
  </si>
  <si>
    <t>Uncino a controllo mioelettrico e relativa unità di controllo</t>
  </si>
  <si>
    <t>- uncino 
- set anelli di colata
- eventuale unità di controllo
- spina coassiale
- sistemi di accoppiamento
- eventuali accessori per realizzare prese speciali
- elementi strutturali necessari per la connessione e regolazione del dispositivo ove non sia presente una specifica specifica categoria del lotto</t>
  </si>
  <si>
    <t>UMT.4</t>
  </si>
  <si>
    <t>Polso passivo a un solo grado di libertà per protesi mioelettrica</t>
  </si>
  <si>
    <t xml:space="preserve">- polso
- eventuali piastre di interconnesione 
- elementi strutturali per il collegamento e la regolazione della protesi (adattatori, tubi, anelli di laminazione e simili), da offrire nella specifica categoria del lotto, ove presente, oppure unitamente al componente di riferimento.
</t>
  </si>
  <si>
    <t>UMT.5</t>
  </si>
  <si>
    <t>Polso passivo a due gradi di libertà per protesi mioelettrica</t>
  </si>
  <si>
    <t>-polso 
-Elementi strutturali per il collegamento e la regolazione della protesi (adattatori, tubi, anelli di laminazione e simili), da offrire nella specifica categoria del lotto, ove presente, oppure unitamente al componente di riferimento.</t>
  </si>
  <si>
    <t>UMT.6</t>
  </si>
  <si>
    <t>Polso attivo a un solo grado di libertà per protesi mioelettriche</t>
  </si>
  <si>
    <t>- polso
- elementi strutturali per il collegamento e la regolazione della protesi (adattatori, tubi, anelli di laminazione e simili), da offrire nella specifica categoria del lotto, ove presente, oppure unitamente al componente di riferimento.</t>
  </si>
  <si>
    <t>UMT.7</t>
  </si>
  <si>
    <t>-gomito
-Elementi strutturali per il collegamento e la regolazione della protesi (adattatori, dime, tubi, anelli di laminazione e simili), da offrire nella specifica categoria del lotto, ove presente, oppure unitamente al componente di riferimento.</t>
  </si>
  <si>
    <t>UMT.8</t>
  </si>
  <si>
    <t>- gomito
- software di programmazione
- accessori per il montaggio
-Elementi strutturali per il collegamento e la regolazione della protesi (adattatori, tubi, dime,  anelli di laminazione e simili), da offrire nella specifica categoria del lotto, ove presente, oppure unitamente al componente di riferimento.</t>
  </si>
  <si>
    <t>UMT.9</t>
  </si>
  <si>
    <t>Spalla passiva</t>
  </si>
  <si>
    <t>- articolazione
-Elementi strutturali per il collegamento e la regolazione della protesi (adattatori, tubi, anelli di laminazione e simili), da offrire nella specifica categoria del lotto, ove presente, oppure unitamente al componente di riferimento.</t>
  </si>
  <si>
    <t>UMT.10</t>
  </si>
  <si>
    <t>- elettrodo
- cavo di collegamento
- dime
- elementi strutturali per il collegamento e la regolazione della protesi (adattatori, tubi, anelli di laminazione e simili), da offrire nella specifica categoria del lotto, ove presente, oppure unitamente al componente di riferimento.</t>
  </si>
  <si>
    <t>UMT.11</t>
  </si>
  <si>
    <t>Interruttori a trazione per protesi mioelettriche</t>
  </si>
  <si>
    <t>Sensore che rileva il movimento dell’utente (trazione) e genera segnali in grado di controllare una protesi mioelettrica.
Il dispositivo deve convertire i movimenti corporei trasmessi mediante cavi e bretellaggi in segnali di comando per il controllo di componenti protesici mioelettrici. Deve consentire il controllo di una o più funzioni del sistema protesico,  eventualmente anche in modalità proporzionale, ed essere integrabile nei sistemi di sospensione e comando dell'arto superiore. Il dispositivo dovrà risultare idoneo per utilizzatori che necessitano di sistemi alternativi o complementari al controllo tramite elettrodi mioelettrici.</t>
  </si>
  <si>
    <t>- interruttore a trazione
- elementi strutturali per il collegamento e la regolazione della protesi, da offrire nella specifica categoria del lotto, ove presente, oppure unitamente al componente di riferimento.</t>
  </si>
  <si>
    <t>UMT.12</t>
  </si>
  <si>
    <t xml:space="preserve">Elettrodi remoti (dome) con relativa unità di elaborazione dati </t>
  </si>
  <si>
    <t>-elettrodi
- elettronica di condizionamento del segnale
cavi
-Elementi strutturali per il collegamento e la regolazione della protesi, da offrire nella specifica categoria del lotto, ove presente, oppure unitamente al componente di riferimento.</t>
  </si>
  <si>
    <t>UMT.13</t>
  </si>
  <si>
    <t>Batterie con eventuale interruttore di accensione e caricabatterie</t>
  </si>
  <si>
    <t>- La fornitura dovrà comprendere i relativi caricabatterie, gli alimentatori e tutti gli accessori necessari al funzionamento e alla ricarica del sistema, inclusi i componenti per l'accensione, il collegamento e la gestione dell'alimentazione.</t>
  </si>
  <si>
    <t>US.1</t>
  </si>
  <si>
    <t>Dispositivo terminale per attività quotidiane specifiche, per lo sport o per l’attività lavorativa.</t>
  </si>
  <si>
    <t>- dispositivo terminale
- eventuale adattatore di passo da pollici a standard M12
- dima di laminazione
- elementi strutturali necessari per la connessione e regolazione del dispositivo ove non sia presente una specifica specifica categoria del lotto
-tutti i componenti accessori di ogni singolo dispositivo terminale.</t>
  </si>
  <si>
    <t>US.2</t>
  </si>
  <si>
    <t>Gomiti sportivi speciali</t>
  </si>
  <si>
    <t>- articolazione
-Elementi strutturali per il collegamento e la regolazione della protesi (adattatori, dime di laminazione, tubi, anelli di laminazione e simili), da offrire nella specifica categoria del lotto, ove presente, oppure unitamente al componente di riferimento.</t>
  </si>
  <si>
    <t>U3D.1</t>
  </si>
  <si>
    <t xml:space="preserve">Cover in stampa 3D realizzata in materiale rigido su misura per il singolo assistito con disegni scelti da catalogo. Deve essere compresa la possibilità di inserire logo fornito dal cliente e piccole personalizzazioni su disegni e colorazioni.  La cover deve prevedere non meno di 15 varianti di disegno e colore. </t>
  </si>
  <si>
    <t>U3D.2</t>
  </si>
  <si>
    <t xml:space="preserve">Cover in stampa 3D in materiale flessibile, realizzata su misura per il singolo assistito con disegni scelti da catalogo. Deve essere compresa la possibilità di inserire logo fornito dal cliente e piccole personalizzazioni su disegni e colorazioni.  La cover deve prevedere non meno di 15 varianti di disegno e colore. </t>
  </si>
  <si>
    <t>UI.1</t>
  </si>
  <si>
    <t xml:space="preserve">Invasatura in tessuto con dispositivi terminali per l'attività della vita quotidiana o per lo sport. </t>
  </si>
  <si>
    <t xml:space="preserve">Invasatura in tessuto per protesi temporanea o definitiva di tipo modulare, dall'amputazione parziale di mano all'amputazione transomerale, in grado di essere adattato dal Tecnico Ortopedico sul paziente. L'invasatura deve contenere il dispositivo terminale per la bicicletta. Taglie diverse di invasatura costituiscono modelli diversi. Eventuali invasature per protesi mioelettriche devono essere offerte nel kit a base d'asta senza il dispositivo terminale ma deve essere previsto tutto quanto necessario per il collegamento meccanico di una mano mioelettrica tridigitale. </t>
  </si>
  <si>
    <t>- Invasatura
- dispositivo terminale per utilizzo in bicicletta per tutte le invasature per protesi di tipo passivo
-Elementi strutturali per il collegamento e la regolazione della protesi, da offrire nella specifica categoria del lotto, ove presente, oppure unitamente al componente di riferimento.
- Eventuali dispositivi terminali alternativi a quello per la bicicletta devono essere offerti ma non costituiscono kit a base d'asta</t>
  </si>
  <si>
    <t>PO.1</t>
  </si>
  <si>
    <t>Mani poliarticolate meccatroniche</t>
  </si>
  <si>
    <t>Mano meccatronica poliarticolata, destinate a utenti con amputazione di arto superiore a livello almeno della disarticolazione del polso.  La mano si intende compresa di garanzia non inferiore a 5 anni, unità di controllo, batteria, caricabatteria e kit di laminazione (Come ad esempio: dime, anelli etc.). Il kit deve prevedere un guanto se obbligatorio per l'utilizzo secondo le istruzioni d'uso.  L'eventuale guanto estetico anatomicamente accurato, con riproduzione dei caratteri della pelle, in più colorazioni, deve essere offerto ma non costituisce parte integrante del kit a base d'asta. Devono essere previste non meno di due taglie di mano. Il dispositivo dovrà consentire l'esecuzione di differenti schemi di presa mediante movimentazione attiva e coordinata delle dita e del pollice: in ogni caso  devono essere disponibili non meno di due diverse tipologie di presa, ovvero in opposizione e laterale. Il pollice deve essere necessariamente motorizzato. La mano deve avere funzione adattativa rispetto all'oggetto afferrato. Deve essere disponibile almeno una una versione per disarticolazione di polso e una versione con disconnessione rapida. Deve essere fornitura un software di personalizzazione in grado di fornire indicazioni circa l'utilizzo del sistema, incluso il numero di cicli di apertura e chiusura, possibilmente suddiviso per tipologia di presa. E' auspicato un sistema di monitoraggio remoto per la diagnostica . Devono essere forniti i report di test che comprovino la forza di presa almeno per quanto attiene la presa tridigitale, laterale e il massimo carico applicabile all'esterno delle dita, come durante l'alzata dalla sedia. Tutte le versioni di polso passivo devono rientrare nella base d'asta. Un polso attivo specifico per il dispositivo può essere offerto e non va a costituire il kit di base d'asta.</t>
  </si>
  <si>
    <t xml:space="preserve">- mano ed eventuale sottoguanto
- unità di controllo centrale
- garanzia di 5 anni
- software
- guanto se richiesto
- elementi strutturali per il collegamento e la regolazione della protesi, da offrire nella specifica categoria del lotto, ove presente, oppure unitamente al componente di riferimento.
</t>
  </si>
  <si>
    <t>PO.2</t>
  </si>
  <si>
    <t xml:space="preserve">Sistema di pattern recognition e/o machine learning  per protesi mioelettriche e relativi cavi di collegamento. </t>
  </si>
  <si>
    <t xml:space="preserve">- elettronica
- elettrodi remoti
- cavi di collegamento
- software 
- dime ed accessori di montaggio
- elementi strutturali per il collegamento e la regolazione della protesi, da offrire nella specifica categoria del lotto, ove presente, oppure unitamente al componente di riferimento.
</t>
  </si>
  <si>
    <t>ONE.1</t>
  </si>
  <si>
    <t>Stabilizzatore delle caviglia nel paino frontale o sagittale</t>
  </si>
  <si>
    <t>Stabilizzatore della caviglia nel piano frontale o sagittale, realizzati in materiale plastico per ortesi di arto inferiore.</t>
  </si>
  <si>
    <t>- Stabilizzatore in gomma 
- dima specifica per termoformatura o laminazione
- eventuali ulteriori elementi necessari per il montaggio e la regolazione (quali viti etc.)</t>
  </si>
  <si>
    <t>ONE.2</t>
  </si>
  <si>
    <t xml:space="preserve">Asta articolata o articolazione, con relativa staffa per il piede per ortesi di arto inferiore. 
Il dispositivo può essere configurato a movimento libero o con limitazione. In questo ultimo caso, la regolazione del massimo di esclusione articolare può essere definita mediante  opportuna limitura della staffa del piede.
Ulteriori staffe devono essere offerte come accessori e/o parti di ricambio. 
</t>
  </si>
  <si>
    <t>- asta articolata o articolazione con relativa staffa per piede
- eventuali ulteriori elementi necessari per il montaggio e la regolazione</t>
  </si>
  <si>
    <t>ONE.3</t>
  </si>
  <si>
    <t>Articolazione di caviglia con sistema di richiamo solo in dorsiflessione o solo in plantaflessione</t>
  </si>
  <si>
    <t xml:space="preserve">Articolazione di caviglia per ortesi di arto inferiore, dotata di sistema elastico di richiamo in dorsiflessione, costituito da una molla in grado di accumulare e restituire energia durante il ciclo del passo. Il dispositivo può eventualmente prevedere un limitatore della massima dorsiflessione possibile. 
Qualora il sistema preveda la possibilità di selezionare molle con differenti caratteristiche elastiche, dovrà essere fornito, in comodato d'uso gratuito, il relativo kit di prova, comprendente tutte le diverse molle disponibili per la configurazione del dispositivo.
Rientrano in questa categoria anche i modelli che presentano solo un sistema di richiamo in plantaflessione con le medesime caratteristiche.
</t>
  </si>
  <si>
    <t>- Barra articolata e relativa staffa o articolazione di caviglia
- eventuali ulteriori elementi necessari per il montaggio e la regolazione</t>
  </si>
  <si>
    <t>ONE.4</t>
  </si>
  <si>
    <t>Articolazione di caviglia multifunzione con possibilità di regolazione separata del comportamento in planta e dorsiflessione</t>
  </si>
  <si>
    <t>Articolazione di caviglia per ortesi di arto inferiore, con possibilità di regolazione separata del comportamento dell'articolazione in plantaflessione e dorsiflessione. Entrambe le configurazioni sono caratterizzate da un sistema di richiamo costituito da una molla in grado di restituire l'energia in essa accumulata. 
Qualora il sistema preveda la possibilità di selezionare molle con differenti caratteristiche elastiche, dovrà essere fornito, in comodato d'uso gratuito, il relativo kit di prova, comprendente tutte le diverse molle disponibili per la configurazione del dispositivo.</t>
  </si>
  <si>
    <t>- Articolazione di caviglia
- eventuali ulteriori elementi necessari per il montaggio e la regolazione</t>
  </si>
  <si>
    <t>ONE.5</t>
  </si>
  <si>
    <t xml:space="preserve">Articolazione di caviglia con sistema di richiamo in dorsiflessione </t>
  </si>
  <si>
    <t>Articolazione di caviglia multifunzione, con possibilità di regolazione separata del comportamento dell'articolazione in plantaflessione e dorsiflessione per mezzo di moduli con funzione alternative. La soluzione deve prevedere almeno un modulo di stop ed un modulo di restituzione di energia per mezzo di una molla, da scegliere al momento della prova sul paziente direttamente da parte del tecnico ortopedico. Il modello da considerare per la base d'asta deve essere comprensivo dell'articolazione e di due moduli di restituzione di energia. Come accessorio deve essere quotato il kit per la variazione delle molle e l'attrezzatura dedicata per il montaggio deve essere invece fornita in comodato d'uso gratuito</t>
  </si>
  <si>
    <t xml:space="preserve">- articolazione di caviglia
- due molle con relative viti di regolazione 
- eventuali ulteriori elementi necessari per il montaggio e la regolazione
</t>
  </si>
  <si>
    <t>ONE.6</t>
  </si>
  <si>
    <t>Articolazione di ginocchio</t>
  </si>
  <si>
    <t>- articolazione di ginocchio
- eventuali ulteriori elementi necessari per il montaggio e la regolazione</t>
  </si>
  <si>
    <t>ONE.7</t>
  </si>
  <si>
    <t>Articolazione di ginocchio con blocco</t>
  </si>
  <si>
    <t xml:space="preserve">Articolazione di ginocchio per ortesi di arto inferiore estesa con sistema di bloccaggio per la stabilizzazione dell'articolazione durante la fase di appoggio e in posizione ortostatica. 
Il meccanismo di bloccaggio può innescarsi automaticamente o manualmente, mentre la rimozione è manuale. </t>
  </si>
  <si>
    <t>ONE.8</t>
  </si>
  <si>
    <t>Articolazione di ginocchio con blocco e possibilità di regolare il livello di flessione</t>
  </si>
  <si>
    <t xml:space="preserve">Articolazione di ginocchio per ortesi di arto inferiore con funzione di blocco meccanico in estensione, per la stabilizzazione articolare durante il carico, e possibilità di regolazione del livello di flessione. Il meccanismo di bloccaggio può innescarsi automaticamente o manualmente, mentre la rimozione è manuale. </t>
  </si>
  <si>
    <t>ONE.9</t>
  </si>
  <si>
    <t xml:space="preserve">Kit HKAFO non a controllo elettronico
</t>
  </si>
  <si>
    <t>Articolazione di ginocchio con blocco sblocco automatico un funzione della fase del passo</t>
  </si>
  <si>
    <t>Articolazione di ginocchio di tipo meccanico per ortesi di arto inferiore con controllo automatico della fase di appoggio. Il dispositivo deve consentire il bloccaggio automatico durante la fase di stance e lo sbloccaggio dell'articolazione in maniera automatica durante la fase di swing.  L'articolazione deve prevedere una modalità di funzionamento permanentemente bloccata ed una permanentemente libera. La documentazione tecnica deve chiaramente indicare se l'articolazione deve essere necessariamente associata ad un'articolazione di caviglia.</t>
  </si>
  <si>
    <t>ONE.10</t>
  </si>
  <si>
    <t>Articolazione di ginocchio per protesi</t>
  </si>
  <si>
    <t>- coppia di articolazione di ginocchio
- eventuali ulteriori elementi necessari per il montaggio e la regolazione</t>
  </si>
  <si>
    <t>ONE.11</t>
  </si>
  <si>
    <t>Articolazioni di ginocchio di tipo policentrico con aste curve e possibilità di regolare la massima estensione e/o flessione</t>
  </si>
  <si>
    <t xml:space="preserve">Articolazioni di ginocchio policentriche a movimento libero con cinematica articolare a centro di rotazione variabile. Il dispositivo deve permettere la regolazione della massima estensione e/o flessione.
Spessore della barra: non superiore a 2mm
</t>
  </si>
  <si>
    <t>- articolazione di ginocchio
- sistema di arresto
- eventuali ulteriori elementi necessari per il montaggio e la regolazione</t>
  </si>
  <si>
    <t>ONE.12</t>
  </si>
  <si>
    <t>Articolazione di anca</t>
  </si>
  <si>
    <t>- articolazione di anca/asta articolata
- eventuali ulteriori elementi necessari per il montaggio e la regolazione</t>
  </si>
  <si>
    <t>ONE.13</t>
  </si>
  <si>
    <t>- articolazione di anca
- eventuali ulteriori elementi necessari per il montaggio e la regolazione</t>
  </si>
  <si>
    <t>ONE.14</t>
  </si>
  <si>
    <t>ONE.15</t>
  </si>
  <si>
    <t>Articolazione di anca per ortesi reciprocanti</t>
  </si>
  <si>
    <t xml:space="preserve"> aste articolate e accessori dedicati per il collegamento ai montanti ortesici e alla struttura pelvica,</t>
  </si>
  <si>
    <t>ONE.16</t>
  </si>
  <si>
    <t xml:space="preserve">Sistema di aste articolari modulari in acciaio inossidabile e lega leggera </t>
  </si>
  <si>
    <t>- Asta per articolazione
- Asta di laminazione</t>
  </si>
  <si>
    <t>ONE.17</t>
  </si>
  <si>
    <t>Sistema di aste articolari modulari in titanio o carbonio</t>
  </si>
  <si>
    <t>ONE.18</t>
  </si>
  <si>
    <t>Fasce metalliche di contenimento per ortesi di arto inferiore (cerchielli)</t>
  </si>
  <si>
    <t>- Cerchiello
- Eventuali ulteriori elementi necessari per il montaggio e la regolazione</t>
  </si>
  <si>
    <t>OCE.1</t>
  </si>
  <si>
    <r>
      <rPr>
        <b/>
        <sz val="11"/>
        <rFont val="Arial"/>
        <family val="2"/>
      </rPr>
      <t>Componenti per ortesi di arto inferiore a controllo elettronico</t>
    </r>
    <r>
      <rPr>
        <b/>
        <sz val="11"/>
        <color rgb="FFFF0000"/>
        <rFont val="Arial"/>
        <family val="2"/>
      </rPr>
      <t xml:space="preserve">
</t>
    </r>
  </si>
  <si>
    <t xml:space="preserve">Articolazione di ginocchio a controllo idraulico con controller elettronico  </t>
  </si>
  <si>
    <t xml:space="preserve">
Articolazione di ginocchio per ortesi di arto inferiore con sistema di controllo idraulico della fase di appoggio ed estensione meccanica con livello di ritorno personalizzabile per il singolo paziente. Il dispositivo è assistito da un controller elettronico programmabile per il singolo paziente da un software dedicato. In particolare, deve prevedere una funzione di deambulazione libera, una totalmente bloccata e una automatica, selezionabili mediante il software. Il funzione dell'articolazione non deve essere vincolato ad alcun tipo specifico di articolazione di caviglia</t>
  </si>
  <si>
    <t>- articolazione di ginocchio
- batteria e alimentatori
- dima per termoformatura e/o laminazione
- eventuali ulteriori elementi necessari per il montaggio e la regolazione
- garanzia di 6 anni</t>
  </si>
  <si>
    <t>OCE.2</t>
  </si>
  <si>
    <t xml:space="preserve">Componenti per ortesi di arto inferiore a controllo elettronico
</t>
  </si>
  <si>
    <t xml:space="preserve">Articolazione di ginocchio con blocco e sblocco automatico e controllo elettronico </t>
  </si>
  <si>
    <t xml:space="preserve">Articolazione di ginocchio per ortesi di arto inferiore con blocco e sblocco automatico azionabile mediante meccanismo di controllo elettronico della fase di appoggio.  Non previsto il controllo continuo della dinamica articolare ma solo la funzione di blocco e sblocco che non deve essere dipendente da una specifica articolazione di caviglia distale. L'articolazione deve essere dotata si un software di programmazione per la personalizzazione del dispositivo. Deve essere prevista una funzione di deambulazione libera, una totalmente bloccata e una automatica, selezionabili mediante il software. </t>
  </si>
  <si>
    <t>- articolazione di ginocchio
- dima per termoformatura e/o laminazione
- sistema di ricarica
- eventuali ulteriori elementi necessari per il montaggio e la regolazione</t>
  </si>
  <si>
    <t>OCE.3</t>
  </si>
  <si>
    <t xml:space="preserve">Articolazione di ginocchio a controllo elettronico durante l'intera fase del passo </t>
  </si>
  <si>
    <t xml:space="preserve">Articolazione di ginocchio a controllo elettronico con regolazione automatica delle caratteristiche dinamiche durante l'intero ciclo del passo. Il dispositivo deve essere inoltre in grado di gestire la discesa di rampe e scale e la deambulazione su terreni irregolari, variando le caratteristiche dinamiche.
Se il fornitore differenzia il lato sinistro dal lato destro, allora entrambi devono essere offerti ma non costituiscono modelli diversi. </t>
  </si>
  <si>
    <t>- articolazione di ginocchio
- sistema di ricarica per alimentatore
- alimentatore e cavi
- eventuali ulteriori elementi necessari per il montaggio e la regolazione
- garanzia di 6 anni</t>
  </si>
  <si>
    <t>Modalità di compilazione</t>
  </si>
  <si>
    <t>Devono essere compilate esclusivamente le colonne contraddistinte da intestazione di colore verde.</t>
  </si>
  <si>
    <t>Tutte le altre colonne:</t>
  </si>
  <si>
    <t>hanno finalità esclusivamente informative;</t>
  </si>
  <si>
    <t>riportano ipotesi preliminari elaborate dall'Amministrazione;</t>
  </si>
  <si>
    <t>non devono essere modificate, cancellate o integrate dagli operatori economici.</t>
  </si>
  <si>
    <t>Principi generali di compilazione</t>
  </si>
  <si>
    <t>Per ciascuna categoria di interesse, gli operatori economici sono invitati a:</t>
  </si>
  <si>
    <t>fornire informazioni complete e coerenti;</t>
  </si>
  <si>
    <t>valorizzare unicamente i campi richiesti nelle colonne verdi;</t>
  </si>
  <si>
    <t>utilizzare, ove necessario, commenti sintetici ma sufficientemente descrittivi;</t>
  </si>
  <si>
    <t>evitare di modificare la struttura del file (righe, colonne, formule, filtri, fogli di lavoro).</t>
  </si>
  <si>
    <t>L'operatore economico può compilare esclusivamente le categorie per le quali dispone di prodotti, servizi o competenze pertinenti.</t>
  </si>
  <si>
    <t>Non è richiesto compilare necessariamente tutte le categorie presenti nel documento.</t>
  </si>
  <si>
    <t>Indicare se per la macrocategoria in esame sono disponibili dispositivi destinati a utenti adulti.</t>
  </si>
  <si>
    <t>La risposta deve riferirsi alla disponibilità effettiva di almeno un prodotto commercializzabile nel mercato italiano.</t>
  </si>
  <si>
    <t>Indicare se per la macrocategoria in esame sono disponibili dispositivi destinati all'utenza pediatrica.</t>
  </si>
  <si>
    <t>Nel caso di disponibilità limitata a specifiche sottocategorie o taglie, è possibile fornire ulteriori precisazioni mediante commento o nota.</t>
  </si>
  <si>
    <t>Garanzia</t>
  </si>
  <si>
    <t>Indicare il periodo di garanzia normalmente applicato ai prodotti della macrocategoria.</t>
  </si>
  <si>
    <t>Qualora la durata vari significativamente tra i modelli offerti, indicare il valore maggiormente rappresentativo del mercato o il valore medio.</t>
  </si>
  <si>
    <t>Qualora esistano differenze significative tra i prodotti, indicare il valore minimo previsto per la macrocategoria.</t>
  </si>
  <si>
    <t>Ciclo di vita</t>
  </si>
  <si>
    <t>Indicare il ciclo di vita atteso del dispositivo.</t>
  </si>
  <si>
    <t>Per ciclo di vita si intende il periodo medio entro il quale il dispositivo mantiene le proprie caratteristiche prestazionali secondo le indicazioni del fabbricante e la normale destinazione d'uso.</t>
  </si>
  <si>
    <t>Letteratura Scientifica</t>
  </si>
  <si>
    <t>Indicare se esistono pubblicazioni scientifiche, studi clinici, linee guida o evidenze di letteratura a supporto della specifica macrocategoria.</t>
  </si>
  <si>
    <t>L'eventuale documentazione potrà essere successivamente richiesta nell'ambito della consultazione.</t>
  </si>
  <si>
    <t>Tempo di consegna</t>
  </si>
  <si>
    <t>Indicare il tempo massimo normalmente necessario per la fornitura del dispositivo inteso come il tempo che intercorre tra:</t>
  </si>
  <si>
    <t>ricezione dell'ordine;</t>
  </si>
  <si>
    <t>disponibilità del dispositivo per la consegna.</t>
  </si>
  <si>
    <t>Qualora esistano differenze significative tra prodotti standard e prodotti personalizzati, indicare il valore massimo previsto per la macrocategoria.</t>
  </si>
  <si>
    <t xml:space="preserve">Inserire eventuali osservazioni che l'operatore economico ritenga utili per una corretta interpretazione dei dati forniti  </t>
  </si>
  <si>
    <t>Foglio "Categorie"</t>
  </si>
  <si>
    <t>Requisiti Minimi</t>
  </si>
  <si>
    <r>
      <t>Nell'apposita colonna verde (Colonna F) gli operatori economici possono, con riferimento al</t>
    </r>
    <r>
      <rPr>
        <sz val="8"/>
        <rFont val="Arial"/>
        <family val="2"/>
      </rPr>
      <t xml:space="preserve">la definizione dei </t>
    </r>
    <r>
      <rPr>
        <sz val="8"/>
        <color theme="1"/>
        <rFont val="Arial"/>
        <family val="2"/>
      </rPr>
      <t>Requisiti Minimi:</t>
    </r>
  </si>
  <si>
    <t>segnalare criticità o osservazioni;</t>
  </si>
  <si>
    <t>proporre modifiche o integrazioni;</t>
  </si>
  <si>
    <t>suggerire ulteriori requisiti minimi;</t>
  </si>
  <si>
    <t>tali informazioni rappresentano i vincoli già identificati dall'Amministrazione;</t>
  </si>
  <si>
    <t>non devono essere eliminate o modificate;</t>
  </si>
  <si>
    <t>è possibile proporre, nell'apposita colonna verde, ulteriori vincoli ritenuti necessari o opportuni.</t>
  </si>
  <si>
    <t>KIT</t>
  </si>
  <si>
    <t>Nell'apposita colonna verde gli operatori economici possono, con riferimento al KIT Minimo:</t>
  </si>
  <si>
    <t>suggerire ulteriori elementi previsti nel KIT;</t>
  </si>
  <si>
    <t>NB: gli elementi dei KIT minimi indicati come "eventuali" sono da intendersi come "Richiesti ai sensi delle Istruzioni d'Uso"</t>
  </si>
  <si>
    <t>Prezzi e informazioni economiche</t>
  </si>
  <si>
    <t>Gli operatori economici sono invitati a indicare il prezzo dell'elemento più costoso della categoria di riferimento, considerando come incluso il KIT dichiarato nella colonna precedente:</t>
  </si>
  <si>
    <t xml:space="preserve">ESEMPIO: </t>
  </si>
  <si>
    <t>nel caso il fornitore disponga di più piedi protesici in materiale composito che rientrano all'interno di una medesima categoria, deve essere considerato come prezzo del kit quello associato al dispositivo con prezzo più alto.</t>
  </si>
  <si>
    <t>Le informazioni fornite hanno finalità esclusivamente conoscitive e non costituiscono offerta economica.</t>
  </si>
  <si>
    <t>Classe dispositivi</t>
  </si>
  <si>
    <t>Brevetti e chiarezza descrizioni</t>
  </si>
  <si>
    <t>Tempistiche di consegna (non custom)</t>
  </si>
  <si>
    <t>Tempistiche di consegna (custom)</t>
  </si>
  <si>
    <t>Tempistiche di consegna</t>
  </si>
  <si>
    <t>Garanzia e ciclo di vita</t>
  </si>
  <si>
    <t>I</t>
  </si>
  <si>
    <t>6 mesi</t>
  </si>
  <si>
    <t>Disponibile</t>
  </si>
  <si>
    <t>Si</t>
  </si>
  <si>
    <t>i. entro 15 giorni lavorativi</t>
  </si>
  <si>
    <t>i. entro 30 giorni lavorativi</t>
  </si>
  <si>
    <t>&lt;3</t>
  </si>
  <si>
    <t>IIa</t>
  </si>
  <si>
    <t>24 mesi</t>
  </si>
  <si>
    <t>Non disponibile</t>
  </si>
  <si>
    <t>No</t>
  </si>
  <si>
    <t>ii. entro 10 giorni lavorativi</t>
  </si>
  <si>
    <t>ii. entro 25 giorni lavorativi</t>
  </si>
  <si>
    <t>Iib</t>
  </si>
  <si>
    <t>24 mesi + estensione garanzia acquistabile a parte (*)</t>
  </si>
  <si>
    <t>iii. entro 5 giorni lavorativi</t>
  </si>
  <si>
    <t>iii. entro 20 giorni lavorativi</t>
  </si>
  <si>
    <t>oltre 24 mesi</t>
  </si>
  <si>
    <t>iv. entro 3 giorni lavorativi</t>
  </si>
  <si>
    <t>iv. entro 15 giorni lavorativi</t>
  </si>
  <si>
    <t>&gt; 84</t>
  </si>
  <si>
    <t>Lotto</t>
  </si>
  <si>
    <t>Categoria (ID)</t>
  </si>
  <si>
    <t>Vincoli di offerta tra categorie/lotti</t>
  </si>
  <si>
    <t>Categoria (descrizione semplica)</t>
  </si>
  <si>
    <t>Descrizione e requisiti minimi</t>
  </si>
  <si>
    <t xml:space="preserve">Ulteriori requesiti minimi </t>
  </si>
  <si>
    <t>Norme tecniche richieste</t>
  </si>
  <si>
    <t>Ulteriori elementi premianti</t>
  </si>
  <si>
    <t>Componenti protesici tipo (kit)</t>
  </si>
  <si>
    <t>Campione richiesto (sì/no/a richiesta)</t>
  </si>
  <si>
    <t>Numero massimo aggiundicatari massimi</t>
  </si>
  <si>
    <t>Consumo stimato</t>
  </si>
  <si>
    <t>Fabbisogno 12 mesi</t>
  </si>
  <si>
    <t>Fabbisogno 48 mesi</t>
  </si>
  <si>
    <t>Prezzo unitario base d'asta (costo+15%)</t>
  </si>
  <si>
    <t xml:space="preserve">Prezzo unitario a base d'asta </t>
  </si>
  <si>
    <t>Importo 48 mesi</t>
  </si>
  <si>
    <t>Importo stimato per ricambi</t>
  </si>
  <si>
    <t>Importo gara</t>
  </si>
  <si>
    <t>Importo stimato per lotto</t>
  </si>
  <si>
    <t>O.1</t>
  </si>
  <si>
    <t>Articolazione di caviglia</t>
  </si>
  <si>
    <t>Articolazione di caviglia per ortesi di arto inferiore con funzione di stabilizzatore  del range di movimento nel piano frontale o sagittale. Il dispositivo può essere configurato a movimento libero o assistito.</t>
  </si>
  <si>
    <t>ISO 22523</t>
  </si>
  <si>
    <t>NO</t>
  </si>
  <si>
    <t>O.2</t>
  </si>
  <si>
    <r>
      <t xml:space="preserve">Asta articolata o articolazione e relativa staffa per il piede per ortesi di arto inferiore. 
Il dispositivo può essere configurato a movimento libero o con limitazione. In questo ultimo caso, la regolazione del massimo range di escursione, può essere definita mediante mediante opportuna fresatura della porzione prossimale del pezzo. 
Ulteriori staffe devono essere offerte come accessori e/o parti di ricambio. 
</t>
    </r>
    <r>
      <rPr>
        <b/>
        <i/>
        <sz val="11"/>
        <color rgb="FFFF0000"/>
        <rFont val="Calibri"/>
        <family val="2"/>
        <scheme val="minor"/>
      </rPr>
      <t xml:space="preserve">[PARTE GENERICA DA INSERIRE IN TUTTE LE DESCRIZIONI O NEL DISCIPLINARE TECNICO </t>
    </r>
    <r>
      <rPr>
        <i/>
        <sz val="11"/>
        <color rgb="FFFF0000"/>
        <rFont val="Calibri"/>
        <family val="2"/>
        <scheme val="minor"/>
      </rPr>
      <t xml:space="preserve">]
</t>
    </r>
    <r>
      <rPr>
        <i/>
        <sz val="11"/>
        <rFont val="Calibri"/>
        <family val="2"/>
        <scheme val="minor"/>
      </rPr>
      <t xml:space="preserve">Taglie differenti del medesimo modello costituiscono modelli distinti. 
Le articolazioni possono essere offerte singole o a coppie, con la medesima base d'asta. Tuttavia, ove l'articolazione sia offerta come pezzo singolo, il fornitore deve assicurare che l'ortesi possa essere anche realizzata con la singola articolazione. Articolazioni con caratteristiche diverse per forma o materiale costituiscono modelli separati. Se vengono proposte articolazioni singole o coppie per il lato sinistro deve essere proposta anche l'articolazione o la  coppia per il lasto destro ma queste non costituiscono modelli distinti. Devono essere offerti come accessori anche eventuali sistemi di allineamento. Devono essere fornite tutti gli accessori utili al montaggio e tutte le parti di ricambio. </t>
    </r>
  </si>
  <si>
    <t>O.3</t>
  </si>
  <si>
    <r>
      <t xml:space="preserve">Articolazione di caviglia per ortesi di arto inferiore, dotata di sistema elastico di richiamo, costituito da una molla in grado di accumulare e restituire energia durante il ciclo del passo. 
La categoria comprende sia articolazione con richiamo in dorsiflessione che in plantaflessione.
Il dispositivo può eventualmente prevedere un limitatore della massima dorsiflessione possibile.
</t>
    </r>
    <r>
      <rPr>
        <sz val="11"/>
        <color rgb="FFFF0000"/>
        <rFont val="Calibri"/>
        <family val="2"/>
        <scheme val="minor"/>
      </rPr>
      <t>Qualora il sistema preveda la possibilità di selezionare molle con differenti caratteristiche elastiche, dovrà essere fornito, in comodato d'uso gratuito, il relativo kit di prova, comprendente tutte le diverse molle disponibili per la configurazione del dispositivo.</t>
    </r>
  </si>
  <si>
    <t>O.4</t>
  </si>
  <si>
    <r>
      <t xml:space="preserve">Articolazione di caviglia per ortesi di arto inferiore, con possibilità di regolazione separata del comportamento dell'articolazione in plantaflessione e dorsiflessione. Entrambe le configurazioni sono caratterizzate da un sistema di richiamo costituito da una molla in grado di restituire l'energia in essa accumulata. 
</t>
    </r>
    <r>
      <rPr>
        <sz val="11"/>
        <color rgb="FFFF0000"/>
        <rFont val="Calibri"/>
        <family val="2"/>
        <scheme val="minor"/>
      </rPr>
      <t>Qualora il sistema preveda la possibilità di selezionare molle con differenti caratteristiche elastiche, dovrà essere fornito, in comodato d'uso gratuito, il relativo kit di prova, comprendente tutte le diverse molle disponibili per la configurazione del dispositivo.</t>
    </r>
  </si>
  <si>
    <t>O.5</t>
  </si>
  <si>
    <r>
      <t xml:space="preserve">Articolazione di caviglia con sistema di richiamo in dorsiflessione </t>
    </r>
    <r>
      <rPr>
        <b/>
        <sz val="11"/>
        <color rgb="FFFF0000"/>
        <rFont val="Calibri"/>
        <family val="2"/>
        <scheme val="minor"/>
      </rPr>
      <t>(INFUNGIBILE?)</t>
    </r>
  </si>
  <si>
    <r>
      <t xml:space="preserve">Articolazione di caviglia con  sistema di richiamo in dorsiflessione costituito da una molla in grado di restituire l'energia in essa accumulata, con eventuale presenza di limitatore della massima dorsiflessione. Rientrano in questa categoria anche i modelli che presentano solo un sistema di richiamo in plantaflessione.
</t>
    </r>
    <r>
      <rPr>
        <sz val="11"/>
        <color rgb="FFFF0000"/>
        <rFont val="Calibri"/>
        <family val="2"/>
        <scheme val="minor"/>
      </rPr>
      <t>Qualora il sistema preveda la possibilità di selezionare molle con differenti caratteristiche elastiche, dovrà essere fornito, in comodato d'uso gratuito, il relativo kit di prova, comprendente tutte le diverse molle disponibili per la configurazione del dispositivo.</t>
    </r>
  </si>
  <si>
    <t>O.6</t>
  </si>
  <si>
    <t>O.7</t>
  </si>
  <si>
    <r>
      <t xml:space="preserve">Articolazione di ginocchio per ortesi di arto inferiore </t>
    </r>
    <r>
      <rPr>
        <sz val="11"/>
        <color rgb="FFFF0000"/>
        <rFont val="Calibri"/>
        <family val="2"/>
        <scheme val="minor"/>
      </rPr>
      <t>estesa</t>
    </r>
    <r>
      <rPr>
        <sz val="11"/>
        <rFont val="Calibri"/>
        <family val="2"/>
        <scheme val="minor"/>
      </rPr>
      <t xml:space="preserve"> con sistema di bloccaggio per la stabilizzazione dell'articolazione durante la fase di appoggio e in posizione ortostatica. 
Il meccanismo di bloccaggio può innesarsi automaticamente o manualmente, mentre la rimozione è manuale. </t>
    </r>
  </si>
  <si>
    <t>O.8</t>
  </si>
  <si>
    <t xml:space="preserve">Articolazione di ginocchio per ortesi di arto inferiore con funzione di blocco meccanico in estensione, per la stabilizzazione articolare durante il carico, e possibilità di regolazione della flessione. </t>
  </si>
  <si>
    <t>O.9</t>
  </si>
  <si>
    <t>Articolazione di ginocchio per ortesi di arto inferiore con controllo automatico della fase di appoggio. Il dispositivo deve consentire il bloccaggio e lo sbloccaggio dell'articolazione in maniera automatica durante le diverse fasi del cammino.</t>
  </si>
  <si>
    <t>O.10</t>
  </si>
  <si>
    <r>
      <t xml:space="preserve">Articolazione di ginocchio </t>
    </r>
    <r>
      <rPr>
        <b/>
        <sz val="11"/>
        <rFont val="Calibri"/>
        <family val="2"/>
        <scheme val="minor"/>
      </rPr>
      <t>[DA VALUTARE]</t>
    </r>
  </si>
  <si>
    <t>Articolazione di ginocchio per ortesi di arto inferiore con sistema di controllo idraulico del movimento di flessione</t>
  </si>
  <si>
    <t>O.11</t>
  </si>
  <si>
    <r>
      <t>Articolazione di ginocchio con blocco e sblocco automatico [</t>
    </r>
    <r>
      <rPr>
        <b/>
        <sz val="11"/>
        <rFont val="Calibri"/>
        <family val="2"/>
        <scheme val="minor"/>
      </rPr>
      <t>INFUNGIBILE?]</t>
    </r>
  </si>
  <si>
    <t>Articolazione di ginocchio per ortesi di arto inferiore con blocco e sblocco automatico azionabile mediante meccanismo di controllo elettronico della fase di appoggio.</t>
  </si>
  <si>
    <t>O.12</t>
  </si>
  <si>
    <r>
      <t xml:space="preserve">Articolazione di ginocchio a controllo elettronico durante l'intera fase del passo </t>
    </r>
    <r>
      <rPr>
        <b/>
        <sz val="11"/>
        <rFont val="Calibri"/>
        <family val="2"/>
        <scheme val="minor"/>
      </rPr>
      <t>[INFUNGIBILE?]</t>
    </r>
  </si>
  <si>
    <t>Articolazione di ginocchio a controllo elettronico con regolazione automatica delle caratteristiche dinamiche durante l'intero ciclo del passo. Il dispositivo deve essere inoltre in grado di gestire la discesa di rampe e scale e la deambulazione su terreni irregolari, variando le caratteristiche dinamiche.
Se il fornitore differenzia il lato sinistro dal lato destro, allora entrambi devono essere offerti ma non costituiscono modelli diversi. 
A comporre il prezzo offerto concorre il prezzo dell'articolazione, della batteria, del caricabatterie e della garanzia di 6 anni.</t>
  </si>
  <si>
    <t>O.13</t>
  </si>
  <si>
    <t>O.14</t>
  </si>
  <si>
    <t>Articolazioni di ginocchio policentriche a movimento libero con cinematica articolare a centro di rotazione variabile. Il dispositivo deve permettere la regolazione della massima estensione e/o flessione.</t>
  </si>
  <si>
    <t>O.15</t>
  </si>
  <si>
    <t>Articolazione di anca per ortesi di arto inferiore, con movimento libero, costituito da elementi articolati con sistema di rotazione su cuscinetti o boccole a basso attrito.</t>
  </si>
  <si>
    <t>O.16</t>
  </si>
  <si>
    <t xml:space="preserve">Articolazione d'anca per ortesi di arto inferiore. Il dispositivo può prevedere un meccanismo di sblocco manuale. La categoria comprende modelli di diverse dimensioni, comprese le taglie pediatriche. </t>
  </si>
  <si>
    <t>O.17</t>
  </si>
  <si>
    <t xml:space="preserve">Articolazione di anca con blocco meccanico e possibilità di regolazione dell'abduzione e adduzione da parte del tecnico ortopedico. La categoria comprende modelli di diverse dimensioni, comprese le taglie pediatriche. </t>
  </si>
  <si>
    <t>O.18</t>
  </si>
  <si>
    <r>
      <t xml:space="preserve">Articolazione di anca </t>
    </r>
    <r>
      <rPr>
        <b/>
        <sz val="11"/>
        <rFont val="Calibri"/>
        <family val="2"/>
        <scheme val="minor"/>
      </rPr>
      <t>[VALUTARE SE ELIMINARE]</t>
    </r>
  </si>
  <si>
    <t>O.19</t>
  </si>
  <si>
    <t>O.20</t>
  </si>
  <si>
    <t>O.21</t>
  </si>
  <si>
    <t>Cerchielli</t>
  </si>
  <si>
    <t xml:space="preserve">Fascie metalliche di contenimento per coscia o polpaccio destinata a ortesi di arto inferiore. Realizzata in materiale metallico preformate per l'adattamento anatomico all'arto e predisposte per il fissaggio all'articolazione del dispositivo. La categoria comprende cerchielli di diversa lunghezza e dimensione, utilizzati per il contenimento e la stabilizzazione ell'arto all'intenro dell'ortesi. </t>
  </si>
  <si>
    <t xml:space="preserve">Ginocchiere per utenti con amputazione transtibiale, a forma cilindrica, realizzate in elastomero termoplastico (TPE), stirene o altro materiale copolimerico. 
Rientrano nella categoria i dispositivi con o senza preflessione e con o senza rivestimento tessile. </t>
  </si>
  <si>
    <t>ISO 10328 o norma equivalente per la biocompatibilità</t>
  </si>
  <si>
    <t>Ginocchiere per utenti con amputazione transtibiale, a forma cilindrica, realizzate in silicone medicale. 
Rientrano nella categoria i dispositivi con o senza preflessione e con o senza rivestimento tessile.</t>
  </si>
  <si>
    <t xml:space="preserve">Ginocchiere per utenti con amputazione transtibiale, realizzate in elastomero termoplastico (TPE), stirene o altro materiale copolimerico, dotate di specifiche porzioni interne rinforzate in corrispondenza della zona del ginocchio, finalizzate alla riduzione dell'usura causata dallo sfregamento con le alette dell'invasatura. </t>
  </si>
  <si>
    <t>Ginocchiere per utenti con amputazione transtibiale, realizzate con rinforzi localizzati nelle zone prossimali e/o distali del dispositivo, finalizzati a migliorare la resistenza meccanica e la durabilità del prodotto nelle aree maggiormente soggette a sollecitazione.</t>
  </si>
  <si>
    <t>Cuffia con o senza rivestimento in tessuto, realizzata in elastomero termopolastico (TPE), stirene o copolimero senza attacco distale e senza anelli da utilizzare in associazione ad altro sistema di sospensione (ginocchiera). 
Prodotti con spessori (uniforme o rastremata) e forme differenti (conica, cilindrica) sono da considerarsi modelli distinti.</t>
  </si>
  <si>
    <t>- cuffia
- anelli di sospensione (se previsti)</t>
  </si>
  <si>
    <t>- cuffia
- attacco distale o sistemi di connessione magnetica
- accessori necessari alla tipologia di attaco distale</t>
  </si>
  <si>
    <t>Cuffia realizzata in elastomero termopolastico (TPE), stirene o copolimero con uno o più anelli integrati per sistema di sospensione ipobarico. 
Prodotti con spessori (uniforme o rastremata) e forme differenti (conica, cilindrica) sono da considerare modelli distinti.</t>
  </si>
  <si>
    <t>- cuffia
- anelli di sospensione</t>
  </si>
  <si>
    <t>Cuffia realizzata in elastomero termopolastico (TPE), stirene o copolimero con rivestimento in tessuto e sistemi di regolazione della temperatura o della sudorazione. 
Prodotti con spessori (uniforme o rastremata), forme differenti (conica, cilindrica) ed eventuale presenza di attacchi distali sono da considerare modelli distinti.</t>
  </si>
  <si>
    <t>Cuffia realizzata in silicone medicale e con sistemi di regolazione della temperatura o della sudorazione. 
Prodotti con spessori (uniforme o rastremata), forme differenti (conica, cilindrica) ed eventuale presenza di attacchi distali sono da considerare modelli distinti.</t>
  </si>
  <si>
    <t>- waterproof</t>
  </si>
  <si>
    <t>- Membrana in gomma e filtro di ingresso/uscita dell'aria 
- Alloggiamento interno ed esterno della valvola 
- O'ring specifico della valvola
- Valvola di ritenuta
- Tubo specifico di collegamento tra valvola e componentistica specifica
- ulteriori elementi necessari al montaggio</t>
  </si>
  <si>
    <r>
      <t xml:space="preserve">Cuffia per protesi di arto inferiore </t>
    </r>
    <r>
      <rPr>
        <sz val="11"/>
        <color theme="1"/>
        <rFont val="Calibri"/>
        <family val="2"/>
        <scheme val="minor"/>
      </rPr>
      <t>e superiore, realizzata in elastomero termopolastico (TPE), copolimero o poliuretano per compensare le variazioni volumetriche del moncone che possono verificarsi nell'arco della giornata durante l'utilizzo della protesi. In considerazione della specifica destinazione d'uso, il dispositivo deve poter essere indossato anche sotto cuffie realizzate in altro materiale.</t>
    </r>
  </si>
  <si>
    <r>
      <t xml:space="preserve">Cuffia per protesi di arto inferiore e </t>
    </r>
    <r>
      <rPr>
        <sz val="11"/>
        <color theme="1"/>
        <rFont val="Calibri"/>
        <family val="2"/>
        <scheme val="minor"/>
      </rPr>
      <t>superiore, realizzata in silicone medicale per compensare le variazioni volumetriche del moncone che possono verificarsi nell'arco della giornata durante l'utilizzo della protesi. In considerazione della specifica destinazione d'uso, il dispositivo deve poter essere indossato anche sotto cuffie realizzate in altro materiale.</t>
    </r>
  </si>
  <si>
    <t>Meccanismi di ancoraggio per cuffie con chiodo</t>
  </si>
  <si>
    <r>
      <t xml:space="preserve">Kit completo per cuffie di arto inferiore </t>
    </r>
    <r>
      <rPr>
        <sz val="11"/>
        <color theme="1"/>
        <rFont val="Calibri"/>
        <family val="2"/>
        <scheme val="minor"/>
      </rPr>
      <t>e superiore con attacco distale. La categorie comprende  tutti gli accessori necessari per il collegamento delle cuffie, ivi compresi i meccanismi che combinano oltre al meccanismo di ancoraggio la valvola per sistemi ipobarici</t>
    </r>
  </si>
  <si>
    <t xml:space="preserve">
- perno di collegamento da collegare con la cuffia
- meccanismo di ancoraggio distale da inserire all'interno dell'invasatura
-  sistema di sospensione per indossare la protesi (sia in posizione eretta che seduto)
-eventuali ulteriori elementi necessari per il montaggio e la regolazione</t>
  </si>
  <si>
    <t>Adattatori realizzati in lega leggera o acciaio inossidabile, con o senza filetto, per protesi modulari di arto inferiore, sia transtibiali che transfemorali. 
La categoria comprende sia adattatori  per tubi di diametro 30 e 34mm, che adattatori con ricevitore piramidale usati per compensare dismetrie. La categoria comprende inoltre adattatori con collegamento maschio e/o femmina (con piramide e/o ricevitore), centrati o decentrati, singoli o doppi.</t>
  </si>
  <si>
    <t>ISO 10328</t>
  </si>
  <si>
    <t xml:space="preserve">Adattatori realizzati in titanio, con o senza filetto, per protesi modulari di arto inferiore, sia transtibiali che transfemorali. 
La categoria comprende sia adattatori  per tubi di diametro 30 e 34mm, che adattatori con ricevitore piramidale usati per compensare dismetrie. La categoria comprende inoltre adattatori con collegamento maschio e/o femmina (con piramide e/o ricevitore), centrati o decentrati, singoli o doppi. </t>
  </si>
  <si>
    <t>Adattatori realizzati in lega leggera o acciaio inossidabile, con differenti inclinazioni, destinati al collegamento tra tubi modulari e componentistica protesica per protesi transfemorali nei casi di emipelvectomie e/o disarticolazione di bacino.</t>
  </si>
  <si>
    <t xml:space="preserve">Adattatori a slitta realizzati in lega leggera o acciaio inossidabile, utilizzati per il collegamento dei moduli nelle protesi transfemorali. Tali adattatori permettono la regolazione e l'allineamento dei componenti protesici distali e prossimali sia sul piano sagittale che frontale.
La categoria comprende adattatori di diversi diametri, nelle configurazioni maschio e/o femmina (con piramide e/o ricevitore), centrati o decentrati, singoli o doppi.  </t>
  </si>
  <si>
    <r>
      <t>Tubi in lega leggera e/o acciaio inossidabile utilizzati per il collegamento tra elementi modulari a struttura centrale piramidale per protesi di arto inferiore. 
La categoria comprende tubi di diametro 30 e 34mm, di lunghezza diversa utilizzabili sia in combinazione con adattatori modulari separati (vedi categorai M.1 e M.2), sia integrati con ricevitore piramidale.
Sono inclusi tubi destinati sia alla protesi definitiva, che tubi a lunghezza regolabile</t>
    </r>
    <r>
      <rPr>
        <sz val="11"/>
        <rFont val="Calibri"/>
        <family val="2"/>
        <scheme val="minor"/>
      </rPr>
      <t xml:space="preserve"> mediante un sistema di serraggio dedicato, utilizzati durante la fase di allineamento statico e dinamico. </t>
    </r>
  </si>
  <si>
    <t>Tubi in titanio di diametro 30 e 34mm, usati per il collegamento tra elementi modulari a struttura centrale piramidale. 
La categoria comprende inoltre tubi inclinati per compensare differenti angoli di allineamento e tubi dedicati per la realizzazione di protesi da bagno e certificati per l'immersione in acqua salata.</t>
  </si>
  <si>
    <t xml:space="preserve">Tubo per protesi di arto inferiore realizzato in acciaio inossidabile e/o lega leggera, composto da due parti che ne consentono l'allungamento telescopico. </t>
  </si>
  <si>
    <t xml:space="preserve">Attacchi realizzati in acciaio inossidabile con nucleo piramidale centrale di tipo maschio o femmina, fisso o ruotabile, dotati di tre o quattro flange (alette) utilizzati per il collegamento della componentistica per protesi di arto inferiore. 
Tali adattatori sono integrabili direttamente nell'invasatura durante il processo di laminazione. </t>
  </si>
  <si>
    <t>Sistema modulare che consente al paziente, in maniera rapida e autonoma, la disconnessione della componentistica protesica distale, anche in presenza di sistemi ipobarici, mediante leve o pulsanti di sancio.
Il sistema offerto dovrà essere composto dall'insieme da tutti i moduli di interconnessione disponibili</t>
  </si>
  <si>
    <t xml:space="preserve">- peso massimo utente: non inferiore a 150 kg (125kg, nel caso di protesi sportive)
</t>
  </si>
  <si>
    <t>categoria vincolata a F.14 e F.15</t>
  </si>
  <si>
    <t>Attacchi di collegamento con forma a L, utilizzati per l'allineamento di prova e definitivo di componentistica sportiva per protesi di arto inferiore, quali piedi protesici per corsa ed salto in lungo.</t>
  </si>
  <si>
    <t>Attacchi di collegamento utilizzati per l'allineamento di prova e definitivo di componentistica sportiva per protesi di arto inferiore, quali piedi protesici per corsa ed salto in lungo.</t>
  </si>
  <si>
    <t>Attacchi di collegamento per l'allineamento di prova e definitivo di componentistica sportiva per protesi di arto inferiore, quali piedi protesici per corsa ed salto in lungo.</t>
  </si>
  <si>
    <t>Attacchi realizzati in titanio, alluminio o acciaio inossidabile, utilizzati per la connessione tra l'invasatura e il tubo in protesi di arto inferiore. Costituiti da una piastrina con quattro fori ISO M4 e con struttura centrale piramidale di tipo  maschio o femmina, fissa o scorrevole, ovvero posta su dei carrelli ad uno o più gradi di libertà.</t>
  </si>
  <si>
    <r>
      <t>Attacchi destinati al collegamento tra l'invasatura e il tubo modulare per protesi di arto inferiore, costituiti da una piastrina di connessione a quattro fori ISO M4 e da una struttura piramidale di tipo maschio o femmina, con assialità standard o eccentrica (</t>
    </r>
    <r>
      <rPr>
        <i/>
        <sz val="11"/>
        <color theme="1"/>
        <rFont val="Calibri"/>
        <family val="2"/>
        <scheme val="minor"/>
      </rPr>
      <t>o con piramide decentrata</t>
    </r>
    <r>
      <rPr>
        <sz val="11"/>
        <color theme="1"/>
        <rFont val="Calibri"/>
        <family val="2"/>
        <scheme val="minor"/>
      </rPr>
      <t>)</t>
    </r>
  </si>
  <si>
    <t>Attacco a quattro fori realizzato in materiale plastico e legno destinato all'incollaggio diretto su prolungamenti in poliuretano espanso, tipici delle protesi tradizionali transtibiali.</t>
  </si>
  <si>
    <t>Componenti modulari utlizzati per nelle protesi transfemorali, in grado di consentire la rotazione della componentistica distale rispetto alla prossimale, dotati di un pulsante di sblocco meccanico. La categoria comprende anche eventuali moduli per la protesi da bagno</t>
  </si>
  <si>
    <t>Offerta vincolata a categoria M.18</t>
  </si>
  <si>
    <t>Attacco di collegamento integrato con maglie in fibra di vetro o carbonio per la realizzazion di invasature di arto inferiore</t>
  </si>
  <si>
    <t>Attacco di collegamento integrato con maglie in materiale composito (fibra di vetro o carbonio) utilizzati per la realizzazione di invasature per amputazioni di arto inferiore. Sono da intendersi parte integrante dell’offerta prodotta tutti gli accessori e consumabili necessari per la realizzazione dell’invasatura definitiva.</t>
  </si>
  <si>
    <t>- attacco di collegamento integrato per modulistica di arto inferiore</t>
  </si>
  <si>
    <t>- treccia completa di attacco distale integrato
- resina specifica per iniezione
- fogli di isolamento in silicone
- bottom seal
- eventuali ulteriori elementi necessari per la realizzazione dell'invasatura definitiva</t>
  </si>
  <si>
    <t>Offerta vincolata a categoria M.17</t>
  </si>
  <si>
    <t xml:space="preserve">Il sistema deve consentire la produzione di invasature di arto inferiore realizzate con maglie in materiale composito e attacco di collegamento integrato, direttamente costumizzate sul paziente anche in condizioni di carico. </t>
  </si>
  <si>
    <t>- attacchi distali di connessione (chiamati pin), ove richiesti;
- calza o manicotto per avvolgere il moncone durante la fase di presa misura
- pompa specifica per il gonfiaggio anche separato delle camere pneumatiche
- figlio isolante di silicone
- resina e sistema per iniezione</t>
  </si>
  <si>
    <t>M.19</t>
  </si>
  <si>
    <t xml:space="preserve">Smorzatore torsionale per protesi di arto inferiore, dotato di piastra a 4 fori per il collegamento prossimale e di attacco piramidale femmina per il collegamento distale, con eventuale tubo integrato. 
Consente una diminuzione delle rotazioni trasversali (forze di taglio) durante il cammino, contribuendo a ridurre le sollecitazioni sul moncone. </t>
  </si>
  <si>
    <t>M.20</t>
  </si>
  <si>
    <t>Smorzatore torsionale e assiale per protesi di arto inferiore nelle diverse versioni di connessione modulari distali e diametri diversi del tubo.</t>
  </si>
  <si>
    <t>M.21</t>
  </si>
  <si>
    <t xml:space="preserve">Il sistema deve consentire il collegamenteo tra impianto osteointegrato, posizionato in sede chirurgica, e protesi di arto superiore. </t>
  </si>
  <si>
    <t>M.22</t>
  </si>
  <si>
    <t>Kit di addestramento per carico su impianti osteintegrati di arto superiore</t>
  </si>
  <si>
    <t>Il sistema ha l'obiettivo di consentire la fase di addestramento al carico su impianti osteintegrati di arto superiore</t>
  </si>
  <si>
    <t>M.23</t>
  </si>
  <si>
    <t xml:space="preserve">Il sistema deve consentire il collegamenteo tra impianto osteointegrato, posizionato in sede chirurgica, e protesi di arto inferiore. </t>
  </si>
  <si>
    <t>M.24</t>
  </si>
  <si>
    <t xml:space="preserve">Calza estetica in silicone con eventuale alluce separato per protesi di arto inferiore. Su richiesta specifica deve essere possibile la personalizzazione con dettagli facoltativi come peli, unghie, tatuaggi etc. </t>
  </si>
  <si>
    <t xml:space="preserve">possibilità di poter scegliere almeno tra 5 diverse colorazioni
</t>
  </si>
  <si>
    <t>M.25</t>
  </si>
  <si>
    <r>
      <t xml:space="preserve">Cover per protesi di </t>
    </r>
    <r>
      <rPr>
        <sz val="11"/>
        <color theme="1"/>
        <rFont val="Calibri"/>
        <family val="2"/>
        <scheme val="minor"/>
      </rPr>
      <t xml:space="preserve">arto inferiore, realizzata in stampa 3D con personalizzazione diretta da parte del tecnico ortopedico. </t>
    </r>
  </si>
  <si>
    <t>- cover estetica
- eventuali viti o elementi necessari per il fissaggio della cover</t>
  </si>
  <si>
    <t>M.26</t>
  </si>
  <si>
    <r>
      <t xml:space="preserve">Cover estetica per </t>
    </r>
    <r>
      <rPr>
        <sz val="11"/>
        <color theme="1"/>
        <rFont val="Calibri"/>
        <family val="2"/>
        <scheme val="minor"/>
      </rPr>
      <t>protesi di arto inferiore, realizzata su misura per il singolo assistito mediante tecnologia stampa 3D in materiale rigido.
La cover deve essere personalizzabile con disegni selezionabili da catalogo e deve prevedere la possibilità di inserimento di logo fornito dal cliente, nonché l’esecuzione di piccole personalizzazioni grafiche relative a disegni, finiture e colorazioni.</t>
    </r>
  </si>
  <si>
    <t>M.27</t>
  </si>
  <si>
    <t>Cover estetica per protesi transfemorale, realizzata mediante tecnologia di stampa 3D, comprensiva di ginocchio e copertura della parte distale della coscia.
La cover deve essere progettata su misura per il singolo assistito e consentire la personalizzazione diretta da parte del tecnico ortopedico. Deve essere compresa la possibilità di inserire logo fornito dal cliente e piccole personalizzazioni su disegnie e colorazioni.</t>
  </si>
  <si>
    <t>0</t>
  </si>
  <si>
    <t>M.28</t>
  </si>
  <si>
    <r>
      <t xml:space="preserve">Cover estetica per </t>
    </r>
    <r>
      <rPr>
        <sz val="11"/>
        <color theme="1"/>
        <rFont val="Calibri"/>
        <family val="2"/>
        <scheme val="minor"/>
      </rPr>
      <t>protesi di arto inferiore, realizzata su misura per il singolo assistito mediante tecnologia stampa 3D in materiale flessibile. La cover deve essere personalizzabile con disegni selezionabili da catalogo e deve prevedere la possibilità di inserimento di un logo fornito dal cliente, oltre a piccole personalizzazioni su disegni e colorazioni</t>
    </r>
  </si>
  <si>
    <t>M.29</t>
  </si>
  <si>
    <t>da valutare se vincolare all'offerta di piede e ginocchio pediatrico</t>
  </si>
  <si>
    <t xml:space="preserve">Attacchi realizzati in acciaio inossidabile con nucleo piramidale centrale di tipo maschio o femmina, fisso o ruotabile, dotati di tre o quattro flange (alette) utilizzati per il collegamento della componentistica pediatrica nelle protesi di arto inferiore. 
Tali adattatori sono integrabili direttamente nell'invasatura durante il processo di laminazione. </t>
  </si>
  <si>
    <t>Da definire</t>
  </si>
  <si>
    <t>M.30</t>
  </si>
  <si>
    <t>Moduli di arto inferiore specifici per componentistica pediatrica. Sono ricompresi nella categoria: adattatori  per il collegamento della componentistica modulare, tubi  per il collegamento della componentistica modulare, attacco a quattro fori per la connessione tra l'invasatura e il tubo in protesi di arto inferiore.</t>
  </si>
  <si>
    <t xml:space="preserve">il fornitore è in grado di offrire almeno un modello compreso in una delle tre categorie del lotto relativo alle articolazioni di anche protesiche </t>
  </si>
  <si>
    <t>M.31</t>
  </si>
  <si>
    <t>da valutare se vincolare l'offerta alla categoria M.6 (per quanto riguarda il tubo per protesi da bagno)</t>
  </si>
  <si>
    <t xml:space="preserve">Moduli idonei per protesi di arto inferiore da bagno
Attacchi idonei per protesi di arto inferiore da bagno, realizzati in acciaio inossidabile con nucleo piramidale centrale di tipo maschio o femmina, fisso o ruotabile, dotati di tre o quattro flange (alette) utilizzati per il collegamento della componentistica per protesi di arto inferiore. 
Tali adattatori sono integrabili direttamente nell'invasatura durante il processo di laminazione. </t>
  </si>
  <si>
    <t>M.32</t>
  </si>
  <si>
    <t xml:space="preserve">Invasature per protesi transfemorali adattabili dal tecnico ortopedico direttamente sul paziente o sul modello positivo. Sono comprese sia invasature prefabbricate da adattare direttamente sul modello positivo, eventualmente riadattabili per termoformature, ovvero invasature costituite da moduli con possibilità di regolazione per adattarsi alle variazioni volumetriche del moncone.
Eventuali attrazzature specifiche per l'adattamento devono essere quotate come accessori. </t>
  </si>
  <si>
    <t>M.33</t>
  </si>
  <si>
    <t>Invasature per protesi transtibiali adattabili dal tecnico ortopedico direttamente sul paziente o sul modello positivo.  Comprende sia invasature prefabbricate da adattare direttamente sul modello, eventualmente riadattabili per termoformature, ovvero invasature costituite da moduli con possibilità di regolazione per adattarsi alle variazioni volumetriche del moncone.
Eventuali attrazzature specifiche per l'adattamento devono essere quotate come accessori.</t>
  </si>
  <si>
    <t>ID</t>
  </si>
  <si>
    <t>Categoria (descrizione semplice)</t>
  </si>
  <si>
    <t>Ulteriori requisiti minimi</t>
  </si>
  <si>
    <t xml:space="preserve">Articolazione anca monocentrica in titanio e alluminio con molla di estensione. Deve essere fornito listino accessori e ricambi con ribasso unico. L'articolazione dovrà essere indicata per persone con amputazione con disarticolazione dell'anca o emipelvectomia. Dovrà poter essere integrata in bustini realizzati in materiale composito. Per il meccanismo di estensione dovrà essere presente una molla di estensione con possibilità di regolazione continua. 
 L’abduzione/adduzione e la flessione/estensione, così come la rotazione, sono regolabili in modo continuo. </t>
  </si>
  <si>
    <t>- Articolazione
- piastra di laminazione
- eventuali elementi ausiliari per montaggio e regolazione</t>
  </si>
  <si>
    <t>1(ottobock)</t>
  </si>
  <si>
    <t>- Articolazione
- piastra di laminazione
- eventuali ulteriori elementi necessari per il montaggio e la regolazione</t>
  </si>
  <si>
    <t>Articolazione anca policentrica in alluminio. L'articolazione deve presentare un sistema idraulico con possibilità di regolazione indipendente della velocità di estensione e flessione dell'articolazione durante la fase di appoggio e oscillazione del cammino. L'articolazione deve presentare un meccanismo di tipo policentrico in grado di replicare il movimento su più piani dell'articolazione fisiologica.</t>
  </si>
  <si>
    <t>U.1</t>
  </si>
  <si>
    <t>Mano estetica con tutte le dita rigide o atteggiabili. La mano deve comprendere l'eventuale parte di collegamento con l'avambraccio laminato o con il modulo polso, e di tutte le parti di ricambio necessarie. 
Il dispositivo dovrà essere destinato alla realizzazione di protesi passive a finalità estetica, con struttura interna leggera e resistente, idonea a supportare il rivestimento cosmetico e a riprodurre la forma anatomica dell'arto superiore. Dovrà essere disponibile in differenti conformazioni e misure per adattarsi alle caratteristiche antropometriche dell'utilizzatore, garantendo adeguata robustezza, comfort e naturalezza dell'aspetto estetico.</t>
  </si>
  <si>
    <t xml:space="preserve">- filettatura interna M12x1,5
- La mano interna dovrà essere in schiuma, leggera e stabile
-adatta per protesi passive e cosmetiche
- La mano deve essere in grado di definire la forma del guanto
-La mano dovrà essere fornita in almeno 40 modelli (uomo, donna,bambino) </t>
  </si>
  <si>
    <t>- Mano
-connettore polso
- guanto cosmetico ( da offrire all'interno della categoria "Guanto estetico in PVC o silicone"
-elementi strutturali necessari per la connessione e regolazione della protesi</t>
  </si>
  <si>
    <t>1 (ottobock)</t>
  </si>
  <si>
    <t>U.2</t>
  </si>
  <si>
    <t>Mano con meccanismo a molla che permette il movimento del pollice, azionato dall’arto controlaterale, e il suo ritorno alla posizione di presa contro le altre dita. La mano deve essere comprensiva del sottoguanto se previsto e quotata nella versione con il filetto maschio M12x1,5. 
Il dispositivo dovrà essere destinato alla realizzazione di protesi passive funzionali dell'arto superiore e dovrà consentire l'apertura del pollice mediante azione manuale dell'arto controlaterale e la successiva chiusura automatica tramite sistema elastico integrato (molla). La struttura dovrà essere leggera e meccanicamente stabile, garantire il mantenimento della configurazione di presa sugli oggetti di uso quotidiano e consentire una movimentazione semplice e intuitiva da parte dell'utilizzatore. La fornitura dovrà comprendere tutti gli elementi strutturali necessari al collegamento con la protesi, nonché gli eventuali componenti cosmetici e di rivestimento previsti dal sistema.
La mano è composta da due elementi: inner hand  (telaio) e cover estetico.</t>
  </si>
  <si>
    <t>- adatta a tutti i livelli di amputazione
- in grado di aprirsi con l'utilizzo dell'arto controlaterale e chiudersi in automatico mediante un sistema a molla.
-disponibile nelle versioni:  uomo, donna, bambino.</t>
  </si>
  <si>
    <t>- Mano: inner hand e cover
-connettore polso
- guanto cosmetico ( da offrire all'interno della categoria "Guanto estetico in PVC o silicone"
-elementi strutturali necessari per la connessione e regolazione della protesi</t>
  </si>
  <si>
    <t>U.3</t>
  </si>
  <si>
    <t>Mano la si attiva tramite movimenti del corpo (spalla, braccio o tronco), trasmessi meccanicamente tramite cavi e bretellaggi.
Il dispositivo dovrà essere destinato a protesi a comando corporeo e consentire l'apertura e/o la chiusura della presa mediante azionamento meccanico a cavo. La mano dovrà garantire una presa funzionale e sicura degli oggetti, con possibilità di mantenimento della posizione di presa mediante sistema di bloccaggio integrato. Il meccanismo dovrà consentire un utilizzo intuitivo e affidabile nelle attività quotidiane, permettendo il controllo della presa e, dove previsto dal sistema, la modulazione della forza applicata agli oggetti. La fornitura dovrà comprendere tutti i componenti necessari al corretto collegamento con il sistema di comando a cavi e con la struttura protesica.
La mano è composta da due elementi: inner hand  (telaio) e cover estetico.</t>
  </si>
  <si>
    <t>-Peso componente: non superiore a 380 g 
- possibile regolazione della forza di presa
-disponibile nelle versioni:  uomo, donna, bambino.</t>
  </si>
  <si>
    <t>- Mano: inner hand e cover
-connettore polso
- cavi e bretellaggi (da offrire all'interno della categoria "Cavi e bretellaggi per protesi cinematiche")
- guanto cosmetico ( da offrire all'interno della categoria "Guanto estetico in PVC o silicone")
-elementi strutturali necessari per la connessione e regolazione della protesi</t>
  </si>
  <si>
    <t>U.4</t>
  </si>
  <si>
    <t>Dispositivo terminale a forma di uncino o chela che si attiva tramite movimenti del corpo (spalla, braccio o tronco), trasmessi meccanicamente tramite cavi e bretellaggi.
Il dispositivo dovrà essere destinato a protesi a comando corporeo e consentire la presa, il mantenimento e la manipolazione sicura di oggetti di diversa forma e dimensione. La struttura dovrà essere realizzata con materiali ad elevata resistenza meccanica e all'usura, idonei all'impiego nelle attività quotidiane, lavorative e ricreative. Il sistema di presa dovrà garantire affidabilità, precisione e adeguata forza di serraggio, con superfici di contatto atte a migliorare l'aderenza anche su materiali lisci o scivolosi.</t>
  </si>
  <si>
    <t>-uncino 
- laddove previsto : guanto cosmetico ( da offrire all'interno della categoria "Guanto estetico in PVC o silicone")
-elementi strutturali necessari per la connessione e regolazione della protesi</t>
  </si>
  <si>
    <t>2 (ottobock, MTO)</t>
  </si>
  <si>
    <t>U.5</t>
  </si>
  <si>
    <t>Protesi cinematiche interdigitali per amputazioni della falange distale o media</t>
  </si>
  <si>
    <t>Protesi cinematiche interdigitali per amputazione interdigitale della falange distale o media (PIP). 
Il dispositivo dovrà essere progettato per sfruttare il movimento residuo dell'articolazione interfalangea prossimale integra, traducendolo in un movimento funzionale del segmento protesico e contribuendo al recupero delle capacità prensili e manipolative della mano. La protesi dovrà essere realizzata su misura in funzione delle caratteristiche anatomiche del paziente e del moncone residuo, garantendo adeguata vestibilità, comfort e protezione del segmento amputato mediante struttura dedicata di contenimento. Dovrà essere costruita con materiali leggeri, resistenti e idonei all'impiego continuativo, consentendo lo svolgimento delle attività quotidiane e la manipolazione di oggetti di uso comune. La struttura dovrà inoltre permettere una facile gestione, pulizia e manutenzione del dispositivo, assicurando robustezza meccanica, ridotto ingombro e compatibilità con l'utilizzo di ulteriori ausili o dispositivi indossabili.</t>
  </si>
  <si>
    <t>-Design personalizzato per adattarsi comodamente e migliorare le funzioni delle attività quotidiane.
-Facile da pulire, da trattare, da indossare e da togliere.
- deve essere prodotto con nylon 12 forte e resistente per uso medico.
- deve avere componenti di fissaggio in titanio leggero.
- deve avere l'opzione conductive tip per usare il touchscreen.</t>
  </si>
  <si>
    <t>-protesi cinematica 
- garanzia di due anni inclusa 
-elementi strutturali necessari per la connessione e regolazione della protesi</t>
  </si>
  <si>
    <t>1 (ossur)</t>
  </si>
  <si>
    <t>U.6</t>
  </si>
  <si>
    <t>Protesi cinematiche per amputazioni delle dita lunghe a livello della falange prossimale, azionate dal movimento dell'articolazione metacarpofalangea (MCP), in associazione ad una protesi cinematica per un dito con amputazione a livello distale.
Il dispositivo dovrà sfruttare il movimento residuo dell'articolazione metacarpofalangea per generare una mobilizzazione funzionale del segmento protesico,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dell'utilizzatore, con componenti ad elevata resistenza meccanica idonei ad un utilizzo intensivo, e prevedere sistemi di adattamento e regolazione finalizzati ad assicurare comfort, corretto allineamento e compensazione delle variazioni volumetriche del segmento residuo. La fornitura dovrà comprendere tutti gli elementi necessari al montaggio, all'adattamento e al corretto utilizzo del sistema protesico.</t>
  </si>
  <si>
    <t>-presenza di un'interfaccia in silicone nella piastra posteriore della protesi
- presenza dell'anello intercambisbile per consentire la variazione di volume.
-presenza di rondelle regolabili che si possono muovere per ottenere un buon allinemaneto del sistema.
- deve avere l'opzione conductive tip per usare il touchscreen.</t>
  </si>
  <si>
    <t>-protesi cinematica 
-garanzia di due anni inclusa
- sistema a cinghia
-elementi strutturali necessari per la connessione e regolazione della protesi</t>
  </si>
  <si>
    <t>U.7</t>
  </si>
  <si>
    <t>Protesi cinematiche per amputazioni delle dita lunghe a livello della falange prossimale, azionate dal movimento dell'articolazione metacarpofalangea (MCP), in associazione ad una protesi cinematica per due dita con amputazione a livello distale.
Il dispositivo dovrà sfruttare il movimento residuo dell'articolazione metacarpofalangea per generare una mobilizzazione funzionale del segmento protesico,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dell'utilizzatore, con componenti ad elevata resistenza meccanica idonei ad un utilizzo intensivo, e prevedere sistemi di adattamento e regolazione finalizzati ad assicurare comfort, corretto allineamento e compensazione delle variazioni volumetriche del segmento residuo. La fornitura dovrà comprendere tutti gli elementi necessari al montaggio, all'adattamento e al corretto utilizzo del sistema protesico.</t>
  </si>
  <si>
    <t>-protesi cinematica 
-garanzia di due anni inclusa
- sistema a cinghia</t>
  </si>
  <si>
    <t>U.8</t>
  </si>
  <si>
    <t>Protesi cinematiche per amputazioni delle dita lunghe a livello della falange prossimale, azionate dal movimento dell'articolazione metacarpofalangea (MCP), in associazione ad una protesi cinematica per tre dita con amputazione a livello distale.
Il dispositivo dovrà sfruttare il movimento residuo dell'articolazione metacarpofalangea per generare una mobilizzazione funzionale del segmento protesico,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dell'utilizzatore, con componenti ad elevata resistenza meccanica idonei ad un utilizzo intensivo, e prevedere sistemi di adattamento e regolazione finalizzati ad assicurare comfort, corretto allineamento e compensazione delle variazioni volumetriche del segmento residuo. La fornitura dovrà comprendere tutti gli elementi necessari al montaggio, all'adattamento e al corretto utilizzo del sistema protesico.</t>
  </si>
  <si>
    <t>U.9</t>
  </si>
  <si>
    <t>Protesi cinematiche per amputazioni delle dita lunghe a livello della falange prossimale, azionate dal movimento dell'articolazione metacarpofalangea (MCP), in associazione ad una protesi cinematica per quattro dita con amputazione a livello distale.
Il dispositivo dovrà sfruttare il movimento residuo dell'articolazione metacarpofalangea per generare una mobilizzazione funzionale del segmento protesico,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dell'utilizzatore, con componenti ad elevata resistenza meccanica idonei ad un utilizzo intensivo, e prevedere sistemi di adattamento e regolazione finalizzati ad assicurare comfort, corretto allineamento e compensazione delle variazioni volumetriche del segmento residuo. La fornitura dovrà comprendere tutti gli elementi necessari al montaggio, all'adattamento e al corretto utilizzo del sistema protesico.</t>
  </si>
  <si>
    <t>U.10</t>
  </si>
  <si>
    <t>Protesi cinematiche per amputazioni parziale del pollice a livello della falange prossimale, azionate dal movimento dell'articolazione metacarpofalangea (MCP). 
Il dispositivo dovrà sfruttare il movimento del pollice residuo per generare una mobilizzazione funzionale del segmento protesico, favorendo il recupero delle prese di precisione e di forza e delle funzioni di opposizione. Dovrà essere realizzato su misura in base alle caratteristiche anatomiche dell'utilizzatore, garantendo comfort, stabilità di sospensione e adeguata resistenza meccanica per le attività quotidiane.</t>
  </si>
  <si>
    <t>- Il design deve includere l'opzione di preflessione regolabile
- deve avere l'opzione conductive tip per usare il touchscreen.</t>
  </si>
  <si>
    <t>U.11</t>
  </si>
  <si>
    <t xml:space="preserve">Protesi cinematiche per amputazione parziale del pollice associata a protesi cinematica per amputazione prossimale falangea delle dita lunghe </t>
  </si>
  <si>
    <t>Protesi cinematiche per amputazioni parziale del pollice a livello della falange prossimale, azionate dal movimento dell'articolazione metacarpofalangea (MCP), in  associazione ad una protesi cinematica per un dito con amputazione a livello falangeo prossimale, azionata dal movimento dell'articolazione metacarpofalangea (MCP). Si considera 1 dito aggiuntivo con sistema a cinghia. 
Il sistema dovrà sfruttare i movimenti delle articolazioni metacarpofalangee residue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t>
  </si>
  <si>
    <t>- Il design deve includere lopzione di preflessione regolabile
- deve avere l'opzione conductive tip per usare il touchscreen.</t>
  </si>
  <si>
    <t>-protesi cinematica 
-dito aggiuntivo
-garanzia di due anni inclusa
- sistema a cinghia
-elementi strutturali necessari per la connessione e regolazione della protesi</t>
  </si>
  <si>
    <t>U.12</t>
  </si>
  <si>
    <t>Protesi cinematiche per amputazioni parziale del pollice a livello della falange prossimale, azionate dal movimento dell'articolazione metacarpofalangea (MCP), in  associazione ad una protesi cinematica per due dita con amputazione a livello falangeo prossimale, azionata dal movimento dell'articolazione metacarpofalangea (MCP). Si considera 2 dita aggiuntivo con sistema a cinghia. 
Il sistema dovrà sfruttare i movimenti delle articolazioni residui metacarpofalangee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t>
  </si>
  <si>
    <t>-protesi cinematica 
-dita aggiuntive
-garanzia di due anni inclusa
- sistema a cinghia
-elementi strutturali necessari per la connessione e regolazione della protesi</t>
  </si>
  <si>
    <t>U.13</t>
  </si>
  <si>
    <t>Protesi cinematiche per amputazioni parziale del pollice a livello della falange prossimale, azionate dal movimento dell'articolazione metacarpofalangea (MCP), in  associazione ad una protesi cinematica per tre dita con amputazione a livello falangeo prossimale, azionata dal movimento dell'articolazione metacarpofalangea (MCP). Si considera 3 dita aggiuntivo con sistema a cinghia. 
Il sistema dovrà sfruttare i movimenti  delle articolazioni residue metacarpofalangee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t>
  </si>
  <si>
    <t>U.14</t>
  </si>
  <si>
    <t>Protesi cinematiche per amputazioni parziale del pollice a livello della falange prossimale, azionate dal movimento dell'articolazione metacarpofalangea (MCP), in  associazione ad una protesi cinematica per quattro dita con amputazione a livello falangeo prossimale, azionata dal movimento dell'articolazione metacarpofalangea (MCP). Si considera 4 dita aggiuntivo con sistema a cinghia. 
Il sistema dovrà sfruttare i movimenti  delle articolazioni residue metacarpofalangee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t>
  </si>
  <si>
    <t>U.15</t>
  </si>
  <si>
    <t>Protesi cinematiche per amputazioni metacarpofalangea (CRICCHETTO)</t>
  </si>
  <si>
    <t>Dito cinematico passivo per il trattamento delle amputazioni parziali della mano con possibilità di flessione a diversi gradi aiutandosi con la mano opposta o con una superficie. 
Il dito cinematico deve potersi sbloccare per avere un’estensione completa, tramite una leva oppure flettendo oltre l’ultima posizione di blocco.
La struttura dovrà essere realizzata con materiali ad elevata resistenza meccanica, idonei all'utilizzo nelle attività quotidiane e compatibili con eventuali altri dispositivi protesici digitali.</t>
  </si>
  <si>
    <t>-presenza di caranature funzionali
-presenza di un cuscinetto di silicone per il polpastrello
-i materiali utilizzati devono essere alluminio lavorato e acciaio inossidabile temperato.
-il design deve essere adeguato per una capacità di carico elevata.</t>
  </si>
  <si>
    <t>-protesi cinematica 
-garanzia di due anni inclusa
-elementi strutturali necessari per la connessione e regolazione della protesi</t>
  </si>
  <si>
    <t>U.16</t>
  </si>
  <si>
    <t>Mano a controllo mioelettrico e relativa unità di controllo</t>
  </si>
  <si>
    <t xml:space="preserve">- peso massimo del componenete: 300 g adulto e  130 g bimbo
-tensione di lavoro: adulto range 6/7,2 V  per bimbo range 4,8/7,4 V.
- ampiezza di apertura: minimo per adulto 75 mm e per bimbo 28 mm
-forza di presa: per adulti almeno 90 N e per bimbo almeno 8N </t>
  </si>
  <si>
    <t>- Mano: inner hand e cover
- guanto cosmetico ( da offrire all'interno della categoria "Guanto estetico in PVC o silicone"
-elementi strutturali necessari per la connessione e regolazione della protesi
-eventuale anello di laminazione
-spina coassiale
-sistemi di accoppiamento. 
-elementi strutturali necessari per la connessione e regolazione della protesi</t>
  </si>
  <si>
    <t>U.17</t>
  </si>
  <si>
    <t xml:space="preserve">Dispositivo terminale a forma di uncino o pinza (greifer) comandato mediante segnale mioelettrico e alimentato in corrente continua. È considerato parte del dispositivo proposto anche la relativa unità di controllo e i relativi cavi di collegamento all'unità di controllo e batteria. Deve essere considerato incluso nella quotazione il cavo più lungo fra quelli disponibili. Devono essere fornite tutte le parti di ricambio per le riparazioni in loco ammesse dal fornitore. </t>
  </si>
  <si>
    <t>-tensione di lavoro: adulto range 6/7,2 V 
- ampiezza di apertura: minimo per adulto 90 mm 
-forza di presa: per adulti almeno 100 N</t>
  </si>
  <si>
    <t>-uncino 
-set anelli di colata
-eventuale unità di controllo
-componentistica per la presa
-elementi strutturali necessari per la connessione e regolazione della protesi</t>
  </si>
  <si>
    <t>2(ottobock, MTO)</t>
  </si>
  <si>
    <t>U.18</t>
  </si>
  <si>
    <t>Dispositivo terminale specifico per l’utilizzo di utensili per la vita quotidiana (che fungano da dispositivo terminale), o specifico per lo sport o per attività lavorativa.</t>
  </si>
  <si>
    <t>-dispositivi che siano applicabili per sport o attività per e/o tempo libero</t>
  </si>
  <si>
    <t>- dispositivo terminale
-elementi strutturali necessari per la connessione e regolazione della protesi
-tutti i componenti accessori di ogni singolo dispositivo terminale.</t>
  </si>
  <si>
    <t>1 (MTO)</t>
  </si>
  <si>
    <t>U.19</t>
  </si>
  <si>
    <t xml:space="preserve">Guanto estetico in PVC o silicone </t>
  </si>
  <si>
    <t xml:space="preserve">Rivestimento estetico in PVC o silicone per mani protesiche, non su misura. Eventuali dispositivi che siano necessari per calzare il guanto sulla mano devono essere quotati come accessori. </t>
  </si>
  <si>
    <t xml:space="preserve">- Adattabile alla geometria della mano protesica
-dove previsto è richiesta la compatibilità con mani mioelettriche e sistemi AxonSkin/PhysioSkin
-Aspetto anatomico realistico con riproduzione di pieghe e texture cutanea
-il materiale deve essere PVC o silicone </t>
  </si>
  <si>
    <t>-guanti
-eventuali accessori utili per l'applicazione e regolazione del guanto.</t>
  </si>
  <si>
    <t>U.20</t>
  </si>
  <si>
    <t xml:space="preserve">Adattatore per protesi modulari
</t>
  </si>
  <si>
    <t xml:space="preserve">-filettatura M12
-gli articoli offerti devono essere compatibili con la componentistica offerta in alcune categorie del presente lotto. </t>
  </si>
  <si>
    <t>-adattatore
-tubo in metallo leggero con boccola di scorrimento, di tutte le misure disponibili (da offrire all'interno della categoria "Tubi di collegamento per protesi endoscheletriche")
-Elementi strutturali per il collegamento e la regolazione della protesi (adattatori, tubi, anelli di laminazione etc.), da offrire nella specifica categoria del lotto, ove presente, oppure unitamente al componente di riferimento.</t>
  </si>
  <si>
    <t>U.21</t>
  </si>
  <si>
    <t xml:space="preserve">Polso passivo a un solo grado di libertà  per protesi cinematica e elementi di connessione con la mano. </t>
  </si>
  <si>
    <t>Dispositivo azionato con l’arto controlaterale che permette un solo grado di libertà, usato per la realizzazione di protesi cinematiche.  
Il dispositivo dovrà consentire la rotazione e il posizionamento funzionale del terminale protesico su un unico asse, garantendo il bloccaggio stabile della posizione selezionata e la compatibilità con sistemi modulari per arto superiore.</t>
  </si>
  <si>
    <t xml:space="preserve">-Peso componente: non superiore a 118 g
-diametro esterno massimo: 55 mm 
-lunghezza complessiva 26 mm 
-gli articoli offerti devono essere compatibili con la componentistica offerta in alcune categorie del presente lotto. </t>
  </si>
  <si>
    <t>U.22</t>
  </si>
  <si>
    <t xml:space="preserve">- peso : 100 g 
-gli articoli offerti devono essere compatibili con la componentistica offerta in alcune categorie del presente lotto. </t>
  </si>
  <si>
    <t>U.23</t>
  </si>
  <si>
    <t xml:space="preserve">Adattatore per protesi estetica con flesso estensione del polso. </t>
  </si>
  <si>
    <t>-adattatore
-tubo in metallo leggero con boccola di scorrimento, di tutte le misure disponibili (da offrire all'interno della categoria "Tubi di collegamento per protesi endoscheletriche")
-Elementi strutturali per il collegamento e la regolazione della protesi ( accessori, tubi, anelli di laminazione etc.), da offrire nella specifica categoria del lotto, ove presente, oppure unitamente al componente di riferimento.</t>
  </si>
  <si>
    <t>U.24</t>
  </si>
  <si>
    <t>Polso passivo a due gradi di libertà per protesi cinematica</t>
  </si>
  <si>
    <t xml:space="preserve">Dispositivo azionato con l’arto controlaterale che permette due gradi di libertà, usato per la realizzazione di protesi cinematiche.  Il polso deve essere fornito con  relativo collegamento con la mano. </t>
  </si>
  <si>
    <t xml:space="preserve">-peso massimo: 130 g 
-gli articoli offerti devono essere compatibili con la componentistica offerta in alcune categorie del presente lotto. </t>
  </si>
  <si>
    <t>U.25</t>
  </si>
  <si>
    <t>Dispositivo azionato con l’arto controlaterale che permette due gradi di libertà, usato per la realizzazione di protesi mioelettriche.  Il polso deve essere fornito con  relativo collegamento con la mano. 
Il dispositivo dovrà consentire il posizionamento funzionale della mano mediante movimenti di flessione ed estensione del polso, oltre che alla rotazione,  con possibilità di utilizzo in modalità libera o bloccata in differenti posizioni.</t>
  </si>
  <si>
    <t xml:space="preserve">-Peso componente: non superiore a 115 g
-altezza: 61 mm </t>
  </si>
  <si>
    <t>U.26</t>
  </si>
  <si>
    <t>Dispositivo elettromeccanico a un solo grado di libertà alimentato in corrente continua e azionato mediante segnale elettromiografico, usato per la realizzazione di protesi mioelettriche. È considerato parte del dispositivo proposto anche la relativa unità di controllo e i relativi cavi di collegamento.</t>
  </si>
  <si>
    <t xml:space="preserve">-Peso componente: non superiore a 145 g 
-gli articoli offerti devono essere compatibili con la componentistica offerta in alcune categorie del presente lotto. </t>
  </si>
  <si>
    <t>-polso
-Elementi strutturali per il collegamento e la regolazione della protesi (adattatori, tubi, anelli di laminazione e simili), da offrire nella specifica categoria del lotto, ove presente, oppure unitamente al componente di riferimento.</t>
  </si>
  <si>
    <t>U.27</t>
  </si>
  <si>
    <t>Gomito passivo</t>
  </si>
  <si>
    <t>-almeno 4 colorazioni di pelle disponibili nel caso di componentistica adulta, dove previsto.</t>
  </si>
  <si>
    <t>U.28</t>
  </si>
  <si>
    <t>Aste per gomito passivo</t>
  </si>
  <si>
    <t>Componenti modulari per la realizzazione di un gomito con bloccaggio e sbloccaggio manuale mediante l'arto controlaterale. Il componente deve essere comprensivo degli adattatori di collegamento ed eventuali dime e anelli di laminazione.</t>
  </si>
  <si>
    <t>-gli articoli offerti devono essere compatibili con la componentistica offerta in alcune categorie del presente lotto. 
-sono richieste minimo 5 posizioni di bloccaggio dell'articolazione.</t>
  </si>
  <si>
    <t>-aste 
-Elementi strutturali per il collegamento e la regolazione della protesi (adattatori, tubi, anelli di laminazione e simili), da offrire nella specifica categoria del lotto, ove presente, oppure unitamente al componente di riferimento.</t>
  </si>
  <si>
    <t>1(MTO)</t>
  </si>
  <si>
    <t>U.29</t>
  </si>
  <si>
    <t xml:space="preserve">-Peso componente: non superiore a 610 g 
- devono essere offerte almeno 4 colorazioni di pelle disponibili nel caso di componentistica adulta, dove previsto.
-gli articoli offerti devono essere compatibili con la componentistica offerta in alcune categorie del presente lotto. </t>
  </si>
  <si>
    <t>-gomito
-Elementi strutturali per il collegamento e la regolazione della protesi (adattatori, tubi, anelli di laminazione e simili), da offrire nella specifica categoria del lotto, ove presente, oppure unitamente al componente di riferimento.</t>
  </si>
  <si>
    <t>U.30</t>
  </si>
  <si>
    <t xml:space="preserve">-Peso componente: non superiore a 720 g 
- devono essere offerte almeno 4 colorazioni di pelle disponibili nel caso di componentistica adulta, dove previsto.
-gli articoli offerti devono essere compatibili con la componentistica offerta in alcune categorie del presente lotto. </t>
  </si>
  <si>
    <t>-gomito
-eventuali adattatori di collegamento 
-eventuali dime di laminazione
-eventuali anelli di laminazione
-Elementi strutturali per il collegamento e la regolazione della protesi (adattatori, tubi, anelli di laminazione e simili), da offrire nella specifica categoria del lotto, ove presente, oppure unitamente al componente di riferimento.</t>
  </si>
  <si>
    <t>U.31</t>
  </si>
  <si>
    <t xml:space="preserve">- devono essere offerte almeno 4 colorazioni di pelle disponibili nel caso di componentistica adulta, dove previsto.
-gli articoli offerti devono essere compatibili con la componentistica offerta in alcune categorie del presente lotto. </t>
  </si>
  <si>
    <t>U.32</t>
  </si>
  <si>
    <t>Spalla atteggiabile passivamente oppure con possibilità di oscillazione mediante il movimento del tronco. Il componente deve essere comprensivo degli adattatori di collegamento ed eventuali dime e anelli di laminazione.
Il dispositivo deve consentire il posizionamento e l'orientamento funzionale dell'arto protesico mediante movimenti passivi e/o oscillazione controllata, favorendo naturalezza del gesto e riduzione delle sollecitazioni sul cingolo scapolare e sull'invasatura.</t>
  </si>
  <si>
    <t xml:space="preserve">-Peso componente: non superiore a 250 g 
-gli articoli offerti devono essere compatibili con la componentistica offerta in alcune categorie del presente lotto. </t>
  </si>
  <si>
    <t>-spalla
-Elementi strutturali per il collegamento e la regolazione della protesi (adattatori, tubi, anelli di laminazione e simili), da offrire nella specifica categoria del lotto, ove presente, oppure unitamente al componente di riferimento.</t>
  </si>
  <si>
    <t>U.33</t>
  </si>
  <si>
    <t xml:space="preserve">-Peso componente: non superiore a 550 g 
-gli articoli offerti devono essere compatibili con la componentistica offerta in alcune categorie del presente lotto. </t>
  </si>
  <si>
    <t>U.34</t>
  </si>
  <si>
    <t>-elettrodi
-Elementi strutturali per il collegamento e la regolazione della protesi (adattatori, tubi, anelli di laminazione e simili), da offrire nella specifica categoria del lotto, ove presente, oppure unitamente al componente di riferimento.</t>
  </si>
  <si>
    <t>2(ottbock, MTO)</t>
  </si>
  <si>
    <t>U.35</t>
  </si>
  <si>
    <t xml:space="preserve">-gli articoli offerti devono essere compatibili con la componentistica offerta in alcune categorie del presente lotto. </t>
  </si>
  <si>
    <t>-Elementi strutturali per il collegamento e la regolazione della protesi, da offrire nella specifica categoria del lotto, ove presente, oppure unitamente al componente di riferimento.</t>
  </si>
  <si>
    <t>U.36</t>
  </si>
  <si>
    <t>Elettrodi con parte di condizionamento e di raccolta del segnale  disgiunti (elettrodi a bottoni). L'elettronica di acquisizione deve essere corredata dal dome. 
Il sistema dovrà consentire l'acquisizione e il condizionamento dei segnali mioelettrici mediante elettrodi remoti separati dall'elettronica di elaborazione, garantendo affidabilità nella rilevazione dell'attività muscolare e compatibilità con sistemi di controllo mioelettrico avanzati, inclusi quelli basati sul riconoscimento dei pattern di movimento. La fornitura dovrà comprendere gli elementi necessari all'interfacciamento con l'invasatura (dome), nelle configurazioni idonee all'adattamento anatomico dell'utilizzatore.</t>
  </si>
  <si>
    <t>2(ottobock,coapt)</t>
  </si>
  <si>
    <t>U.37</t>
  </si>
  <si>
    <t>Batterie con eventuale interruttore di accensione e caricabatterie (anche da auto) (Nel caso la batteria sia di tipo estraebili, il kit è composto da n°2 batterie)</t>
  </si>
  <si>
    <t>Batterie di alimentazione per protesi mioelettriche con eventuale interruttore di accensione e caricabatterie associato, anche per l’utilizzo in auto. I cavi che devono essere collegati alla batteria devono comprendere anche l'interruttore di diramazione. 
Il sistema deve essere dotato di dispositivo di protezione elettronica e di sistemi per la verifica dello stato di carica.</t>
  </si>
  <si>
    <t xml:space="preserve">- La ricarica del sistema deve avvenire entro le 4 h </t>
  </si>
  <si>
    <t>2(ottobock, ossur)</t>
  </si>
  <si>
    <t>U.38</t>
  </si>
  <si>
    <t>Sistema di controllo avanzato mediante pattern recognition in associazione i relativi cablaggi. Non sono compresi gli elettrodi. 
Il sistema dovrà acquisire e interpretare i segnali mioelettrici mediante algoritmi di riconoscimento dei pattern e/o apprendimento automatico, consentendo l'associazione dei movimenti muscolari residui alle diverse funzioni della protesi.</t>
  </si>
  <si>
    <t>U.39</t>
  </si>
  <si>
    <t>Tubi modulari per la realizzazione di protesi endoscheletriche.</t>
  </si>
  <si>
    <t>- è obbligatorio fornire almeno i tubi di lunghezza di 120mm e 250 mm con diametro di 20 mm</t>
  </si>
  <si>
    <t>-Elementi strutturali per il collegamento e la regolazione della protesi.</t>
  </si>
  <si>
    <t>U.40</t>
  </si>
  <si>
    <t>Il sistema deve comprendere i componenti necessari alla trasmissione meccanica dei movimenti dell'utilizzatore ai dispositivi protesici, inclusi elementi di collegamento, scorrimento, regolazione, protezione e fissaggio. Tali componenti dovranno garantire affidabilità, continuità di funzionamento, corretta trasmissione delle forze di comando e compatibilità con i sistemi protesici cinematici dell'arto superiore.</t>
  </si>
  <si>
    <t>U.41</t>
  </si>
  <si>
    <t>Blocchi modulari estetici in schiuma espansa preformata e non, destinati alla realizzazione del rivestimento estetico della protesi, preformati o personalizzabili mediante lavorazione. I componenti dovranno consentire l'adattamento alla morfologia dell'utilizzatore e risultare compatibili con i sistemi modulari per arto superiore.</t>
  </si>
  <si>
    <t>-cironferenza dell'avambraccio 300 mm</t>
  </si>
  <si>
    <t>-Accessori necessari per il montaggio e la finitura estetica.</t>
  </si>
  <si>
    <t>U.42</t>
  </si>
  <si>
    <t>Cover in stampa 3D realizzata in materiale rigido su misura per il singolo assistito con disegni scelti da catalogo. Deve essere compresa la possibilità di inserire logo fornito dal cliente e piccole personalizzazioni su disegni e colorazioni</t>
  </si>
  <si>
    <t>U.43</t>
  </si>
  <si>
    <t>Cover in stampa 3D in materiale flessibile, realizzata su misura per il singolo assistito con disegni scelti da catalogo. Deve essere compresa la possibilità di inserire logo fornito dal cliente e piccole personalizzazioni su disegni e colorazioni</t>
  </si>
  <si>
    <t>U.44</t>
  </si>
  <si>
    <t xml:space="preserve">Invasatura in tessuto per protesi temporanea o definitiva di tipo modulare in grado di essere adottato dal Tecnico Ortopedico nel paziente. L'invasatura deve contenere il dispositivo terminale per la bicicletta. </t>
  </si>
  <si>
    <t>K.1</t>
  </si>
  <si>
    <t>Ginocchio adatto per pazienti con grado di mobilità basso, basato su articolazioni meccaniche monocentriche o policentriche in titanio, senza sistemi di controllo idraulici, pneumatici o elettronici.
Nel caso il ginocchio presenti un meccanismo di tipo policentrici la stabilità in fase di appoggio è data dalla geometria articolare, mentre la regolazione della velocità di oscillazione durante la fase di volo è regolabile attraverso un meccanismo a frizione e una molla di estensione. Nel caso di ginocchio monocentrici la stabilità articolare in fase di appoggio è assicurata da un meccanismo di frenata attivato dal carico esercitato dal paziente, mentre la regolazione durante la fase di osillazione è data da un sistema a molla.</t>
  </si>
  <si>
    <t>- ginocchio
- eventuali componenti necessari per il montaggio e la regolazione
- eventuale cover di protezione.</t>
  </si>
  <si>
    <t>K.2</t>
  </si>
  <si>
    <t>Ginocchio adatto per pazienti con grado di mobilità basso, basato su articolazioni meccaniche monocentriche o policentriche in lega leggera, senza sistemi di controllo idraulici, pneumatici o elettronici.
Il ginocchio deve presentare un sistema di bloccaggio geometrico e una regolabilità della flessione in fase statica e dinamica. Indicato per disarticolazione del ginocchio, Disarticolazione dell'anca e Transfemorale</t>
  </si>
  <si>
    <t>- ginocchio 
- eventuali componenti necessari per il montaggio e la regolazione
- eventuale cover di protezione.
- eventuale set di ammortizzatori e spessori</t>
  </si>
  <si>
    <t>2 (ossur e ottobock)</t>
  </si>
  <si>
    <t>K.3</t>
  </si>
  <si>
    <t xml:space="preserve">
Ginocchio protesico meccanico monocentrico o policentrico per utenza pediatrica, realizzato in lega leggera ad alta resistenza, con sistema meccanico di assistenza e controllo della fase di oscillazione regolabile. I ginocchi devono essere privi di sistemi di controllo idraulici, pneumatici o elettronici.</t>
  </si>
  <si>
    <t>- peso massimo del paziente: non inferiore a 45 kg
-Peso componente: non superiore a 310 g
-angolo flessione: non inferiore a 140°</t>
  </si>
  <si>
    <t>- ginocchio 
- eventuali componenti necessari per il montaggio e la regolazione
- eventuale cover di protezione.</t>
  </si>
  <si>
    <t>1(ottobok)</t>
  </si>
  <si>
    <t>K.4</t>
  </si>
  <si>
    <t xml:space="preserve">Ginocchi meccanici monocentrici o policentrici in titanio dotati di meccanismo per il blocco dell’articolazione in estensione, al fine di garantire un elevato grado di 
sicurezza durante i primi esercizi in piedi e la camminata. </t>
  </si>
  <si>
    <t>2 (ossur e Ottobock)</t>
  </si>
  <si>
    <t>K.5</t>
  </si>
  <si>
    <t xml:space="preserve">Ginocchi meccanici monocentrici o policentrici in lega leggera, dotati di meccanismo per il blocco automatico dell’articolazione in completa estensione e sblocco azionabile mediante comando manuale con cavo. 
 Il dispositivo deve garantire stabilità durante la fase di appoggio e consentire lo sblocco controllato per l’avvio della flessione durante la deambulazione. </t>
  </si>
  <si>
    <t>- peso massimo del paziente: non inferiore a 100 kg e se pediatrico 45kg
-Peso componente: non superiore a 290 g e se pediatrico 145 g
-angolo flessione: non inferiore a 150° e se pediatrico 140°</t>
  </si>
  <si>
    <t>K.6</t>
  </si>
  <si>
    <t xml:space="preserve">Ginocchi meccanici monocentrici dotati di meccanismo per il blocco dell’articolazione in completa estensione, caratteristica di fondamentale importanza nel caso di specie nel quale il paziente deambula con la protesi in parziale immersione. Certificati per immersione in acqua salata e acqua clorata. </t>
  </si>
  <si>
    <t>- peso massimo del paziente: non inferiore a 150 kg 
-Peso componente: non superiore a 400 g 
-angolo flessione: non inferiore a 130°</t>
  </si>
  <si>
    <t>K.7</t>
  </si>
  <si>
    <t xml:space="preserve">Ginocchi meccanici policentrici dotati di meccanismo per il blocco e sblocco dell’articolazione . Certificati per immersione in acqua salata e acqua clorata. Possibilità di blocco e sblocco del ginocchio mediante un pulsante. </t>
  </si>
  <si>
    <t>-Peso massimo del paziente: almeno 136 kg
-Peso componente: non superiore a 665 g
-angolo flessione: non inferiore a 130°
- Grado mobilità: K2</t>
  </si>
  <si>
    <t>1(ossur)</t>
  </si>
  <si>
    <t>K.8</t>
  </si>
  <si>
    <t>Ginocchi che utilizzano sistemi idraulici o pneumatici per modulare la resistenza durante la flessione e l’estensione.</t>
  </si>
  <si>
    <t>-Peso massimo del paziente: almeno 100 kg
-Peso componente: non superiore a 1140 g
-angolo flessione: non inferiore a 110°
- Grado mobilità: da K2 a K4</t>
  </si>
  <si>
    <t>3( ossur, ottobock, mto)</t>
  </si>
  <si>
    <t>K.9</t>
  </si>
  <si>
    <t>Ginocchi protesici monocentrici dotati di sistema idraulico o pneumatico per il controllo dinamico delle fasi di appoggio e oscillazione, con regolazione delle resistenze alla flessione e all’estensione. Il dispositivo deve garantire supporto e stabilità durante la deambulazione su superfici piane, rampe, pendenze e scale, consentendo una progressione del passo fluida e controllata. Deve essere certificato per l’utilizzo in ambiente umido e per immersione in acqua dolce, salata e clorata, nonché dotato di sistema di blocco manuale dell’articolazione.</t>
  </si>
  <si>
    <t>K.10</t>
  </si>
  <si>
    <t>Ginocchi policentrici dotati di sistema pneumatico o idraulico per il controllo delle fasi di appoggio e oscillazione, con regolazione della resistenza alla flessione e all'estensione. Il dispositivo deve garantire elevata stabilità in fase di carico, adeguata clearance durante la fase oscillante e adattamento alla deambulazione a velocità variabile. Devono essere disponibili regolazioni individuali dei parametri funzionali e sistemi di controllo della fase di appoggio finalizzati a migliorare sicurezza, efficienza del passo e naturalezza della deambulazione.Indicato per disarticolazione del ginocchio, Disarticolazione dell'anca e Transfemorale</t>
  </si>
  <si>
    <t>3( ossur, MTO, ottobock)</t>
  </si>
  <si>
    <t>K.11</t>
  </si>
  <si>
    <t>Ginocchi protesici dotati di sensori elettronici e microprocessore per il controllo continuo delle fasi di appoggio e oscillazione. Il sistema deve adattare dinamicamente il comportamento del ginocchio alle diverse condizioni di deambulazione, garantendo elevata sicurezza durante il cammino, il superamento di rampe e pendenze, la fase di seduta e di rialzata e le attività della vita quotidiana. Devono essere presenti funzioni di prevenzione delle cadute e recupero dall'inciampo, controllo della stabilità in stazione eretta, gestione assistita della discesa di rampe e possibilità di blocco manuale in estensione. Il dispositivo deve consentire la personalizzazione dei parametri funzionali mediante software dedicato.</t>
  </si>
  <si>
    <t>- ginocchio 
- eventuali componenti necessari per il montaggio e la regolazione
- eventuale cover di protezione.
-unità di alimentazione
-Caricatore di batteria
-software dedicato per personalizzazione dei parametri funzionali.</t>
  </si>
  <si>
    <t>K.12</t>
  </si>
  <si>
    <t>-Peso massimo del paziente: non inferiore a 110 kg
-Peso componente: non superiore a 1600 g
-angolo flessione: non inferiore a 115°
- Grado mobilità: da K2 a K4</t>
  </si>
  <si>
    <t>K.13</t>
  </si>
  <si>
    <t>-Peso massimo del paziente: non inferiore a 110 kg
-Peso componente: non superiore a 1800 g
-angolo flessione: non inferiore a 120°
- Grado mobilità: da K2 a K4</t>
  </si>
  <si>
    <t>- ginocchio 
- eventuali componenti necessari per il montaggio e la regolazione
- eventuale cover di protezione.
-unità di alimentazione
-Caricatore di batteria
-software dedicato per personalizzazione dei parametri funzionali.
- certificazione IP68</t>
  </si>
  <si>
    <t>K.14</t>
  </si>
  <si>
    <t>K.15</t>
  </si>
  <si>
    <t>K.16</t>
  </si>
  <si>
    <t>Ginocchi dotati di sensori e microprocessore per l’adattamento dinamico alle condizioni di cammino, nei quali il controllo elettronico interessa esclusivamente una delle due fasi del passo (fase di appoggio o fase oscillante), mentre l’altra è gestita mediante sistemi meccanici, pneumatici o idraulici. Il dispositivo deve garantire adattamento automatico alle variazioni della velocità di deambulazione, elevata sicurezza durante il cammino su superfici piane e inclinate e controllo della discesa di scale e rampe. Devono essere presenti sistemi di stabilizzazione della fase di appoggio e funzioni che consentano una progressione fluida del passo a velocità variabile. In caso di esaurimento della batteria, il dispositivo deve mantenere la funzionalità essenziale e consentire una deambulazione sicura. Indicato per amputazione transfemorale, disarticolazione di ginocchio, disarticolazione d’anca ed emipelvectomia.</t>
  </si>
  <si>
    <t>K.17</t>
  </si>
  <si>
    <t>Ginocchi dotati di attuatore elettromeccanico alimentato a batteria, controllato da sensori e microprocessore, in grado di generare attivamente movimento e potenza durante le fasi del passo. Il sistema deve fornire assistenza attiva alla flessione e all’estensione dell’articolazione, adattando in tempo reale il proprio comportamento alle intenzioni e alle esigenze funzionali dell’utilizzatore. Devono essere garantiti il controllo continuo delle fasi di appoggio e oscillazione, il supporto attivo durante la deambulazione, il passaggio dalla posizione seduta alla stazione eretta, la gestione di scale e pendenze e una distribuzione equilibrata del carico tra gli arti. Il dispositivo deve essere dotato di alimentazione a batteria ricaricabile, sistemi di controllo e personalizzazione tramite software dedicato e funzioni atte a favorire una deambulazione naturale e ad elevata efficienza funzionale. Indicato per amputazione transfemorale e disarticolazione di ginocchio.</t>
  </si>
  <si>
    <t>K.18</t>
  </si>
  <si>
    <t>Ginocchi protesici specificamente progettati per attività sportive e corsa, dotati di sistemi meccanici e/o idraulici ottimizzati per garantire elevata fluidità della fase oscillante e rapida risposta alle variazioni di velocità. Il dispositivo deve consentire una deambulazione e una corsa dinamica, con ridotta resistenza al movimento, elevata libertà articolare e adeguato controllo durante le attività ad elevata intensità. Indicato per utenti con elevata richiesta funzionale e per l’utilizzo in attività sportive, compresa la corsa veloce e lo sprint.</t>
  </si>
  <si>
    <t>-Peso massimo del paziente: non inferiore a 100 kg
-Peso componente: non superiore a 685 g
-angolo flessione: non inferiore a 130°</t>
  </si>
  <si>
    <t>- ginocchio 
- eventuali componenti necessari per il montaggio e la regolazione</t>
  </si>
  <si>
    <t>K.19</t>
  </si>
  <si>
    <t>Ginocchi protesici sportivi specificamente progettati per discipline caratterizzate da movimenti dinamici e continui di flessione ed estensione dell’arto, quali sport invernali, motociclismo etc. Il dispositivo deve essere dotato di sistemi di smorzamento regolabili meccanici, pneumatici e/o idraulici in grado di garantire controllo, stabilità e risposta dinamica durante l’attività sportiva. Devono essere presenti sistemi di regolazione individuale del comportamento articolare, funzioni che consentano agevolmente il passaggio alla posizione seduta e caratteristiche costruttive che assicurino robustezza, resistenza all’usura e impermeabilità. Indicato per utenti con amputazione transfemorale o disarticolazione di ginocchio impegnati in attività sportive ad elevata richiesta funzionale.</t>
  </si>
  <si>
    <t>-Peso massimo del paziente: non inferiore a 100 kg
-Peso componente: non superiore a 2150 g
-angolo flessione sbloccato: non inferiore a 80° 
-angolo flessione bloccato: non inferiore a 67°</t>
  </si>
  <si>
    <t>B.1</t>
  </si>
  <si>
    <t>Mani poliarticolate meccatroniche ad articolazione differenziata, destinate a utenti con amputazione di arto superiore a livello transradiale, disarticolazione del polso o livelli superiori.  La mano si intende compresa di garanzia e unità di controllo e kit di laminazione (Come ad esempio: dime, anelli etc.).
Il dispositivo dovrà consentire l'esecuzione di differenti schemi di presa mediante movimentazione attiva e coordinata delle dita e del pollice, garantendo funzionalità, precisione e forza di presa nelle attività quotidiane. La mano dovrà presentare caratteristiche costruttive atte a favorire la naturalezza del gesto e dell'aspetto estetico, risultando disponibile anche in configurazioni a ridotto ingombro per utenti con limitato spazio di installazione o monconi lunghi.</t>
  </si>
  <si>
    <t>F.1</t>
  </si>
  <si>
    <t xml:space="preserve">Piede SACH (Solid Ankle Cushion Heel – caviglia rigida e tallone ammortizzante) in legno/materiale plastico e schiuma polimerica per la realizzazione di protesi di arto inferiore. </t>
  </si>
  <si>
    <t>- piede
-attacco piede sach
- adattatore piede 
- piastra per piede sach
- malleolo
- eventuali componenti necessari per il montaggio e la regolazione</t>
  </si>
  <si>
    <t>2( ottobock, MTO)</t>
  </si>
  <si>
    <t>F.2</t>
  </si>
  <si>
    <t>Piedi  dinamici per livelli di mobilità basso o moderato, realizzati con struttura interna in materiali plastici, legno, elastomeri e/o materiali compositi.  Devono essere presenti elementi funzionali in grado di migliorare la dinamica dell’avampiede e l’adattamento alle irregolarità del terreno, favorendo stabilità, comfort e sicurezza durante la deambulazione quotidiana.</t>
  </si>
  <si>
    <t>F.3</t>
  </si>
  <si>
    <t xml:space="preserve"> Piede in legno/materiale plastico e schiuma polimerica con articolazione meccanica</t>
  </si>
  <si>
    <t>-Peso massimo del paziente:  non inferiore a 100 kg
-Peso componente: non superiore a 365 g
-Grado di Mobilità: K1
- peso articolazione massimo: non superiore a 210 g per il titanio, alluminio 235 g, e lega leggera 340 g</t>
  </si>
  <si>
    <t>-piede
- articolazione 
- eventuali componenti necessari per il montaggio e la regolazione</t>
  </si>
  <si>
    <t>F.4</t>
  </si>
  <si>
    <t>Piede per la realizzazione di protesi da bagno. Costruito con materiali polimerici ad elevata resistenza e progettato per impedire la penetrazione dell'acqua nei componenti strutturali. Dotato, ove previsto, di adattatore in titanio resistente alla corrosione e sistema di sigillatura degli elementi di collegamento. La conformazione anatomica del piede, con dita definite e alluce separato, unitamente alla particolare struttura della superficie plantare antiscivolo, garantisce elevata aderenza e sicurezza su superfici bagnate.</t>
  </si>
  <si>
    <t>-Peso massimo del paziente: non inferiore a 150 kg
-Peso componente: non superiore a 630 g</t>
  </si>
  <si>
    <t>- piede
- eventuale attacco piede sach
- eventuale adattatore piede 
- eventuale piastra per piede sach
- eventuale malleolo
- eventuali componenti necessari per il montaggio e la regolazione</t>
  </si>
  <si>
    <t>F.5</t>
  </si>
  <si>
    <t>- piede
-eventuale cuneo tallone
-eventuali attacchi modulari differenti da quelli di normale fornitura.
-cover con calza
- eventuali componenti necessari per il montaggio e la regolazione
-eventuale sistema a "vuoto attivo"</t>
  </si>
  <si>
    <t>3( ottobock, ossur, aps)</t>
  </si>
  <si>
    <t>F.6</t>
  </si>
  <si>
    <t>Piede in materiale composito con elemento aggiuntivo "shock absorber" che permette all'utente la compensazione torsionale e/o l'ammortizzazione delle forze verticali durante il cammino mediante un meccanismo integrato nel piede, ossia non collegato all’attacco piramidale del piede. Il dispositivo dovrà garantire un'efficace riduzione delle sollecitazioni trasmesse al moncone e alle articolazioni residue, favorendo comfort, stabilità e controllo durante il cammino. Dovrà inoltre assicurare una progressione fluida del passo, adeguata restituzione di energia e capacità di adattamento a differenti condizioni e superfici di utilizzo.</t>
  </si>
  <si>
    <t>- piede
-eventuali attacchi modulari differenti da quelli di normale fornitura.
- eventuale cuneo tallone
-cover con calza
-eventuale sistema a "vuoto attivo"
- eventuali componenti necessari per il montaggio e la regolazione</t>
  </si>
  <si>
    <t>2 (ossur, ottobock)</t>
  </si>
  <si>
    <t>F.7</t>
  </si>
  <si>
    <t>Piede in materiale composito con articolazione meccanica o idraulica senza controllo elettronico integrato per la riproduzione delle funzionalità della caviglia.
Progettato per favorire l'adattamento a superfici irregolari e pendenze, migliorando stabilità, comfort e sicurezza durante il cammino. Il dispositivo dovrà consentire movimenti controllati di flessione plantare e dorsale e/o adattamenti multidirezionali, garantendo una progressione fluida del passo, un'efficace restituzione di energia e una riduzione delle sollecitazioni trasmesse al moncone e all'arto controlaterale.</t>
  </si>
  <si>
    <t>3(ossur, blatchford e Ottobock)</t>
  </si>
  <si>
    <t>F.8</t>
  </si>
  <si>
    <t>Piede in materiale composito dotato di sistema a controllo elettronico mediante microprocessore per la riproduzione delle funzionalità della caviglia, con articolazione meccanica o idraulica. Il piede è in grado di adattare automaticamente il comportamento del dispositivo alle diverse condizioni di utilizzo e alle variazioni del terreno. Il sistema dovrà favorire una deambulazione più naturale e sicura, migliorando la stabilità su superfici piane, inclinate e scale, aumentando la distanza della punta dal suolo durante la fase oscillante e riducendo il rischio di inciampo. Dovrà inoltre garantire una gestione dinamica della risposta articolare in funzione della velocità di cammino e delle condizioni di carico, contribuendo a una distribuzione più fisiologica delle sollecitazioni e a un maggiore comfort dell'utilizzatore.</t>
  </si>
  <si>
    <t xml:space="preserve">- piede
-eventuali attacchi modulari differenti da quelli di normale fornitura.
-cover con calza
- eventuali componenti necessari per il montaggio e la regolazione
- caricabatteria con Cavo d'interfaccia
</t>
  </si>
  <si>
    <t>2(ossur, blatchford)</t>
  </si>
  <si>
    <t>F.9</t>
  </si>
  <si>
    <t>Piede protesico in materiale composito con altezza del tacco regolabile, progettato per consentire l'utilizzo di differenti tipologie di calzature senza compromettere allineamento, postura, stabilità e funzionalità del sistema protesico. Il dispositivo dovrà permettere una regolazione semplice e ripetibile dell'altezza del tacco in un intervallo almeno compreso tra 0 e 50 mm, garantendo una progressione fluida del passo, adeguato ritorno di energia e comfort nelle attività quotidiane.</t>
  </si>
  <si>
    <t xml:space="preserve">- piede
-eventuali attacchi modulari differenti da quelli di normale fornitura.
-cover con calza
- eventuali componenti necessari per il montaggio e la regolazione
- zeppe con tacco per piede
</t>
  </si>
  <si>
    <t>2( ottobock, ossur)</t>
  </si>
  <si>
    <t>F.10</t>
  </si>
  <si>
    <t>Piede in materiale composito con un'altezza al di sotto di 100mm per la costruzione di protesi per amputazione transtibiale di utenti con moncone lungo. Questo deve prevedere un’interfaccia con l'adattatore dell'invasatura mediante attacco piramidale. L’altezza si intende calcolata con cover montata sul piede senza considerare l’altezza della piramide. Il dispositivo dovrà garantire adeguata restituzione di energia, progressione fluida del passo e comfort durante la deambulazione, mantenendo elevate prestazioni dinamiche nonostante la ridotta altezza costruttiva. Dovrà inoltre favorire l'adattamento a differenti condizioni di utilizzo e superfici di cammino, assicurando stabilità, naturalezza del movimento e riduzione delle sollecitazioni trasmesse all'arto residuo.</t>
  </si>
  <si>
    <t>F.11</t>
  </si>
  <si>
    <t>Piede in materiale composito con un'altezza al di sotto di 60mm per la costruzione di protesi per utenti con amputazioni Syme e Pirogoff e per utenti con amputazione transtibiali con moncone lungo. Questo deve prevedere un’interfaccia per laminazione diretta.
L’altezza si intende calcolata con cover montata sul piede senza considerare l’altezza della piramide.
Il dispositivo dovrà garantire una deambulazione dinamica e confortevole, con adeguato assorbimento degli urti e restituzione di energia, mantenendo elevate prestazioni funzionali nonostante la ridotta altezza costruttiva. Dovrà inoltre consentire un corretto allineamento protesico e favorire stabilità, sicurezza e naturale progressione del passo nelle attività quotidiane.</t>
  </si>
  <si>
    <t xml:space="preserve">- piede
-cover con calza
- eventuali componenti necessari per il montaggio e la regolazione
</t>
  </si>
  <si>
    <t>F.12</t>
  </si>
  <si>
    <t>Soletta in carbonio per la costruzione di protesi per amputazioni parziali di piede non integrabile nella protesi mediante laminazione.</t>
  </si>
  <si>
    <t xml:space="preserve">disponbili almeno nelle versioni: 
-stiffness: morbida, media, rigida, extra rigida e extra extra rigida.
</t>
  </si>
  <si>
    <t>/</t>
  </si>
  <si>
    <t>F.13</t>
  </si>
  <si>
    <t>Lamina in carbonio integrabile mediante laminazione in protesi per amputazioni dalla parziale di piede. L'offerta deve essere compreso di kit di laminazione.</t>
  </si>
  <si>
    <t>-Peso massimo del paziente: non inferiore a 136 kg
-Peso componente: non superiore a 150 g
-Grado di Mobilità: K4</t>
  </si>
  <si>
    <t>-Lamina
- Kit rivestimento 
- eventuali componenti necessari per il montaggio e la regolazione</t>
  </si>
  <si>
    <t>F.14</t>
  </si>
  <si>
    <t>Piede specifico per corsa, sprinting e/o salto in lungo, senza tacco, con forma a J. Realizzato in materiale composito ad elevata restituzione di energia, dovrà garantire leggerezza, elevata propulsione, reattività e stabilità, assicurando prestazioni ottimali nelle attività sportive di corsa e sprint ad alto livello.</t>
  </si>
  <si>
    <t>-Peso massimo del paziente: non inferiore a 125 kg
-Peso componente: non superiore a 980 g
-Grado di Mobilità: K4</t>
  </si>
  <si>
    <t>- piede
-eventuali attacchi modulari differenti da quelli di normale fornitura.
- eventuali componenti necessari per il montaggio e la regolazione
-spike pad</t>
  </si>
  <si>
    <t>F.15</t>
  </si>
  <si>
    <t>Piede specifico per corsa, sprinting e/o salto in lungo, senza tacco, con forma a C. 
Realizzato in materiale composito ad elevata restituzione di energia, dovrà garantire elevata reattività, assorbimento degli urti, stabilità e spinta dinamica per attività sportive ad alto impatto, favorendo prestazioni ottimali nelle discipline di corsa e salto.</t>
  </si>
  <si>
    <t>-Peso massimo del paziente: non inferiore a 110 kg
-Peso componente: non superiore a 1 kg 
-Grado di Mobilità: K4</t>
  </si>
  <si>
    <t xml:space="preserve">- piede
-eventuali attacchi modulari differenti da quelli di normale fornitura.
- eventuali componenti necessari per il montaggio e la regolazione
- eventuale set zeppa per tallone
</t>
  </si>
  <si>
    <t>F.16</t>
  </si>
  <si>
    <t>Piede specifico per utilizzo in combinazione con attrezzature sportive invernali quali sci e snowboard. Progettato per garantire stabilità, controllo e gestione delle sollecitazioni dinamiche durante l'attività sportiva, dovrà assicurare elevata resistenza, affidabilità e adeguate prestazioni nelle diverse condizioni di utilizzo.</t>
  </si>
  <si>
    <t>-Peso massimo del paziente: non inferiore a 100 kg
-Peso componente: non superiore a 1150 g
-Grado di Mobilità: K4</t>
  </si>
  <si>
    <t xml:space="preserve">- piede
-eventuali attacchi modulari differenti da quelli di normale fornitura.
- eventuali componenti necessari per il montaggio e la regolazione
- eventuale clip di bloccaggio del piede
</t>
  </si>
  <si>
    <t>F.17</t>
  </si>
  <si>
    <t>Piede realizzato in materiale composito almeno adatto fino alla categoria K2 compresa</t>
  </si>
  <si>
    <t>Piede in materiale composito, anche detto “ad accumulo e restituzione di energia”, adatto fino alla categoria K2 compresa. Il dispositivo dovrà garantire stabilità, comfort e fluidità del cammino, assicurando adeguato assorbimento degli urti, restituzione di energia e adattamento alle normali condizioni di utilizzo quotidiano.</t>
  </si>
  <si>
    <t xml:space="preserve">- Modulo piede con attacco piramidale maschio 
- Kit cover piede con calza </t>
  </si>
  <si>
    <t>1) tolto 15% o il 10 per alcune categorie ortesi</t>
  </si>
  <si>
    <t>2) ridotti ginocchi elettronici</t>
  </si>
  <si>
    <t>3) separato mani poliarticolate</t>
  </si>
  <si>
    <t>4) rimodulazione del fabbisogno annuo per l'arto superiore al 75% del previsto</t>
  </si>
  <si>
    <t>6) per ortesi rimodulato fabbisogno</t>
  </si>
  <si>
    <t>Dettaglio della fornitura</t>
  </si>
  <si>
    <t>Raggruppamento</t>
  </si>
  <si>
    <r>
      <rPr>
        <b/>
        <sz val="11"/>
        <color rgb="FF3F3F3F"/>
        <rFont val="Calibri"/>
        <family val="2"/>
      </rPr>
      <t>Oggetto</t>
    </r>
  </si>
  <si>
    <r>
      <rPr>
        <b/>
        <sz val="11"/>
        <color rgb="FF3F3F3F"/>
        <rFont val="Calibri"/>
        <family val="2"/>
      </rPr>
      <t>Descrizione</t>
    </r>
  </si>
  <si>
    <t>Prodotti di riferimento</t>
  </si>
  <si>
    <r>
      <rPr>
        <b/>
        <sz val="11"/>
        <color rgb="FF3F3F3F"/>
        <rFont val="Calibri"/>
        <family val="2"/>
      </rPr>
      <t>Impianto Tipo</t>
    </r>
  </si>
  <si>
    <r>
      <rPr>
        <b/>
        <sz val="11"/>
        <color rgb="FF3F3F3F"/>
        <rFont val="Calibri"/>
        <family val="2"/>
      </rPr>
      <t>Fabbisogno 48 mesi</t>
    </r>
  </si>
  <si>
    <r>
      <rPr>
        <b/>
        <sz val="11"/>
        <color rgb="FF3F3F3F"/>
        <rFont val="Calibri"/>
        <family val="2"/>
      </rPr>
      <t>Prezzo unitario a base d'asta</t>
    </r>
  </si>
  <si>
    <r>
      <rPr>
        <b/>
        <sz val="11"/>
        <color rgb="FF3F3F3F"/>
        <rFont val="Calibri"/>
        <family val="2"/>
      </rPr>
      <t>Valore a base d'asta 48 mesi Iva esclusa</t>
    </r>
  </si>
  <si>
    <r>
      <rPr>
        <b/>
        <sz val="11"/>
        <color rgb="FF3F3F3F"/>
        <rFont val="Calibri"/>
        <family val="2"/>
      </rPr>
      <t>Valore proroga appalto specifico 6 mesi Iva esclusa</t>
    </r>
  </si>
  <si>
    <r>
      <rPr>
        <b/>
        <sz val="11"/>
        <color rgb="FF3F3F3F"/>
        <rFont val="Calibri"/>
        <family val="2"/>
      </rPr>
      <t>Valore quinto d'obbligo Iva esclusa</t>
    </r>
  </si>
  <si>
    <r>
      <rPr>
        <b/>
        <sz val="11"/>
        <color rgb="FF3F3F3F"/>
        <rFont val="Calibri"/>
        <family val="2"/>
      </rPr>
      <t>Valore massimo stimato Iva esclusa comprensivo di opzione di proroga, quinto d'obbligo e
rinnovo Iva esclusa</t>
    </r>
  </si>
  <si>
    <r>
      <rPr>
        <b/>
        <sz val="11"/>
        <color rgb="FF3F3F3F"/>
        <rFont val="Calibri"/>
        <family val="2"/>
      </rPr>
      <t>Importo garanzia provvisoria</t>
    </r>
  </si>
  <si>
    <r>
      <rPr>
        <b/>
        <sz val="11"/>
        <color rgb="FF3F3F3F"/>
        <rFont val="Calibri"/>
        <family val="2"/>
      </rPr>
      <t>Importo contributo ANAC</t>
    </r>
  </si>
  <si>
    <t>Piedi protesici</t>
  </si>
  <si>
    <r>
      <t>Piede SACH (</t>
    </r>
    <r>
      <rPr>
        <i/>
        <sz val="11"/>
        <rFont val="Calibri Light"/>
        <family val="2"/>
        <scheme val="major"/>
      </rPr>
      <t>Solid Ankle Cushion Heel</t>
    </r>
    <r>
      <rPr>
        <sz val="11"/>
        <rFont val="Calibri Light"/>
        <family val="2"/>
        <scheme val="major"/>
      </rPr>
      <t xml:space="preserve"> – caviglia rigida e tallone ammortizzante) in legno/materiale plastico e schiuma polimerica per la realizzazione di protesi di arto inferiore.</t>
    </r>
  </si>
  <si>
    <t>Piede dinamico in legno/materiale plastico e schiuma polimerica, con all’interno un’anima in materiale plastico o in composito utile ad aumentare il livello di mobilità dell’assistito.</t>
  </si>
  <si>
    <t>Piede in legno/materiale plastico e schiuma polimerica per la realizzazione di protesi da bagno</t>
  </si>
  <si>
    <t>Piede realizzato in materiale composito</t>
  </si>
  <si>
    <t>Piede in materiale composito, anche detto “ad accumulo e restituzione di energia”.</t>
  </si>
  <si>
    <t>Piede realizzato in materiale composito e con meccanismi di compensazione torsionale e/o shock absorber</t>
  </si>
  <si>
    <r>
      <t>Piede in materiale composito che permette all'utente la compensazione torsionale e/o l'ammortizzazione delle forze verticali durante il cammino (</t>
    </r>
    <r>
      <rPr>
        <i/>
        <sz val="11"/>
        <rFont val="Calibri Light"/>
        <family val="2"/>
        <scheme val="major"/>
      </rPr>
      <t>shock absorber</t>
    </r>
    <r>
      <rPr>
        <sz val="11"/>
        <rFont val="Calibri Light"/>
        <family val="2"/>
        <scheme val="major"/>
      </rPr>
      <t>) mediante un meccanismo integrato nel piede, ossia non collegato all’attacco piramidale del piede.</t>
    </r>
  </si>
  <si>
    <t>Piede realizzato in materiale composito con articolazione di tipo meccanico (senza controllo elettronico)</t>
  </si>
  <si>
    <t>Piede in materiale composito che comprende un componente meccanico che riproduce le funzionalità della caviglia (es: tecnologia idraulica).</t>
  </si>
  <si>
    <t>Piede realizzato in materiale composito con articolazione a controllo elettronico</t>
  </si>
  <si>
    <t>Piede in materiale composito che comprende un meccanismo a controllo elettronico che riproduce le funzionalità della caviglia.</t>
  </si>
  <si>
    <t>Piede realizzato in materiale composito con possibilità di regolazione dell’altezza del tacco</t>
  </si>
  <si>
    <t>Piedi in materiale composito che permette di regolare l'altezza del tacco in un range almeno tra 0 e 50mm per l'adattabilità a diverse tipologie di calzature.</t>
  </si>
  <si>
    <t>Piede realizzato in materiale composito con altezza massima inferiore a 100mm</t>
  </si>
  <si>
    <t>Piede in materiale composito con un'altezza al di sotto di 100mm per la costruzione di protesi per amputazione transtibiale di utenti con moncone lungo. Questo deve prevedere un’interfaccia con l'adattatore dell'invasatura mediante attacco piramidale. L’altezza si intende calcolata con cover montata sul piede senza considerare l’altezza della piramide.</t>
  </si>
  <si>
    <t>Piede realizzato in materiale composito specifico per amputazioni Syme/Pirogoff senza attacco piramidale con e senza adattatore</t>
  </si>
  <si>
    <t>Piede in materiale composito con un'altezza al di sotto di 60mm per la costruzione di protesi per utenti con amputazioni Syme e Pirogoff e per utenti con amputazione transtibiali con moncone lungo. Questo deve prevedere un’interfaccia per laminazione diretta.</t>
  </si>
  <si>
    <t>Lamina per amputazione parziale del piede</t>
  </si>
  <si>
    <t>Lamina in fibra di carbonio per la costruzione di protesi per amputazioni parziali di piede</t>
  </si>
  <si>
    <t>Piede specifico per corsa, sprinting e/o salto in lungo, senza tacco, con forma a J</t>
  </si>
  <si>
    <t>Piede specifico per corsa, sprinting e/o salto in lungo, senza tacco, con forma a C</t>
  </si>
  <si>
    <t>Piede articolato per sci e snowboard, motociclismo o sollevamento piedi</t>
  </si>
  <si>
    <t>Piede specifico per utilizzo in combinazione con attrezzature sportive invernali quali sci, snowboard, moticiclismo o sollevamento pesi.</t>
  </si>
  <si>
    <t>Ginocchi protesici</t>
  </si>
  <si>
    <t>Ginocchi meccanici monoasse o multiasse in titanio</t>
  </si>
  <si>
    <t>Basati su articolazioni meccaniche monocentriche o policentriche in titanio, senza sistemi di controllo idraulici, pneumatici o elettronici.</t>
  </si>
  <si>
    <t>Ginocchi meccanici monoasse o multiasse in lega leggera</t>
  </si>
  <si>
    <t>Basati su articolazioni meccaniche monocentriche o policentriche in lega leggera, senza sistemi di controllo idraulici, pneumatici o elettronici,.</t>
  </si>
  <si>
    <t>Ginocchi meccanici in titanio monoasse o multiasse con opzione di bloccaggio manuale.</t>
  </si>
  <si>
    <t>Ginocchi meccanici monoasse o multiasse in titanio dotati di meccanismo per il blocco dell’articolazione in estensione,.</t>
  </si>
  <si>
    <t>Ginocchi meccanici in lega leggera monoasse o multiasse con opzione di bloccaggio manuale.</t>
  </si>
  <si>
    <t>Ginocchi meccanici monoasse o multiasse in lega leggera dotati di meccanismo per il blocco dell’articolazione in estensione.</t>
  </si>
  <si>
    <t>Ginocchi meccanici monoasse o multiasse con opzione di bloccaggio manuale, idoneo per protesi da bagno</t>
  </si>
  <si>
    <t>Ginocchi meccanici monoasse o multiasse dotati di meccanismo per il blocco dell’articolazione in estensione. Certificati per immersione in acqua salata e acqua clorata.</t>
  </si>
  <si>
    <t>Ginocchi idraulici o pneumatici monocentrici, idonei per protesi da bagno</t>
  </si>
  <si>
    <t>Ginocchi che utilizzano sistemi idraulici o pneumatici per modulare la resistenza durante la flessione e l’estensione. Certificati per immersione in acqua salata e acqua clorata.</t>
  </si>
  <si>
    <t>Dispositivi dotati di sensori e microprocessori per l’adattamento dinamico alle condizioni di cammino.. Certificato per resistere all’immersione in acqua ad una profondità superiore a 2m.</t>
  </si>
  <si>
    <t>Ginocchi passivi a controllo elettronico con microprocessore ibridi (Hybrid Knee Ginocchio Alps)</t>
  </si>
  <si>
    <t>Dispositivi dotati di sensori e microprocessori per l’adattamento dinamico alle condizioni di cammino in cui solo una delle due fasi (swing o stance) è controllata elettronicamente.</t>
  </si>
  <si>
    <t>Dispositivi con articolazione controllata da un attuatore elettromeccanico alimentato a batterie.</t>
  </si>
  <si>
    <t>Ginocchi progettati per la corsa.</t>
  </si>
  <si>
    <t>Ginocchi progettati per sport invernali o motociclismo</t>
  </si>
  <si>
    <t>Anche protesiche</t>
  </si>
  <si>
    <t>Articolazione anca monocentrica in titanio. Peso massimo del paziente: 100 kg</t>
  </si>
  <si>
    <t>Articolazione anca monocentrica con controllo idraulico della fase d’oscillazione e della fase di carico. Massimo peso paziente: 125kg</t>
  </si>
  <si>
    <t>Articolazione anca policentrica in alluminio. Peso massimo del paziente: 100 kg</t>
  </si>
  <si>
    <t>Ginocchiere in elastomero termoplastico (TPE), stirene e copolimero di struttura cilindrica, con o senza preflessione, con o senza tessuto.</t>
  </si>
  <si>
    <t>Ginocchiere in silicone di struttura cilindrica, con o senza preflessione, con o senza tessuto.</t>
  </si>
  <si>
    <t>Ginocchiera, con o senza preflessione, con zona interna attorno al ginocchio rinforzata per ridurre l'usura data dalle alette dell'invasatura.</t>
  </si>
  <si>
    <t>Sleeves specialistiche</t>
  </si>
  <si>
    <t>Ginocchiere in tessuto con rinforzi di silicone interno solo nelle porzioni prossimali e distali .</t>
  </si>
  <si>
    <t>Moduli di arto inferiore</t>
  </si>
  <si>
    <t>Adattatori in lega leggera, acciaio inox</t>
  </si>
  <si>
    <t xml:space="preserve">Adattatori semplici o con morsetto per la connessione dei tubi modulari (con o senza filetto) con la componentistica protesica. La categoria comprende adattatori di diversi diametri, nelle versioni maschio e/o femmina, anche decentrati, singoli o doppi.  </t>
  </si>
  <si>
    <t>Adattatori in titanio</t>
  </si>
  <si>
    <t xml:space="preserve">Adattatori in lega leggera, acciaio inox con inclinazione  </t>
  </si>
  <si>
    <t xml:space="preserve">Adattatori con inclinazioni differenti (da 10° fino a 30°) per la connessione dei tubi modulari con la componentistica protesica. </t>
  </si>
  <si>
    <t>Adattatori in lega leggera, acciaio inox a slitta</t>
  </si>
  <si>
    <t xml:space="preserve">Adattatori a slitta. La categoria comprende adattatori di diversi diametri, nelle versioni maschio e/o femmina, anche decentrati, singoli o doppi.  </t>
  </si>
  <si>
    <t>Tubo in lega leggera o  acciaio inox  con relativo adattatore</t>
  </si>
  <si>
    <t xml:space="preserve">Tubi di diametri diversi in lega leggera, acciaio inox  per il collegamento tra elementi modulari a struttura centrale piramidale. Sono compresi anche tubi con lunghezza regolabile. </t>
  </si>
  <si>
    <t>Tubo in titanio o acciaio inox filettato</t>
  </si>
  <si>
    <t xml:space="preserve">Tubi di diametri diversi in titanio o acciaio inox filettato per il collegamento tra elementi modulari a struttura centrale piramidale. Sono compresi anche tubi con lunghezza regolabile. </t>
  </si>
  <si>
    <t xml:space="preserve">Tubo con lunghezza regolabile in acciaio inox o lega leggera </t>
  </si>
  <si>
    <t xml:space="preserve">Tubo composto da due parti che consentono l'allungamento telescopico del tubo stesso. </t>
  </si>
  <si>
    <t xml:space="preserve">Attacchi in acciaio inox con nucleo piramidale  </t>
  </si>
  <si>
    <t xml:space="preserve">Attacchi da integrare in invasature mediante laminazione, realizzati in acciaio inox, con struttura piramidale centrale di tipo maschio o femmina, fissa o ruotabile, dotata di tre o quattro flange (alette). </t>
  </si>
  <si>
    <t>Sistema modulare di disconnessione rapida</t>
  </si>
  <si>
    <t>Sistema che consente al paziente, in maniera rapida e autonoma, la disconnessione della componentistica protesica distale, anche in presenza di sistemi ipobarici. Il sistema offerto dovrà essere composto dall'insieme da tutti i moduli di interconnessione disponibili</t>
  </si>
  <si>
    <t>Attacchi di collegamento a L per l'allineamento di prova e definitivo di piedi per la corsa ed il salto in lungo</t>
  </si>
  <si>
    <t>Attacchi di collegamento per l'allineamento di prova e definitivo di piedi per la corsa ed il salto in lungo.</t>
  </si>
  <si>
    <t>Attacchi per la connessione tra l'invasatura e il tubo costituiti da una piastrina con 4 fori tipicamente ISO M4 e con struttura centrale piramidale che può essere maschio o femmina, fissa o scorrevole, ovvero posta su dei carrelli ad uno o più gradi di libertà. La categoria comprende le piastrine a 4 fori in titanio, alluminio o acciaio inox.</t>
  </si>
  <si>
    <t>Attacchi per la connessione tra l'invasatura e il tubo costituiti da una piastrina con 4 fori tipicamente di tagli ISO M4) e con struttura centrale piramidale decentrata he può essere maschio o femmina, con assialità standard o con piramide decentrata.</t>
  </si>
  <si>
    <t xml:space="preserve">Attacco a quattro fori in plastica e legno per l'incollaggio su prolungamenti in poliuretano espanso. </t>
  </si>
  <si>
    <t>Componenti modulari utilizzati per consentire la rotazione della componentistica distale rispetto alla prossimale, dotati di un pulsante di sblocco meccanico. La categoria comprende anche moduli per la protesi da bagno</t>
  </si>
  <si>
    <t>Attacco di collegamento integrato con maglie in fibra di vetro o carbonio, per la realizzazione di invasature per amputazioni di arto inferiore. L’offerta dovrà esse comprensiva di tutti gli accessori e consumabili necessari per la realizzazione dell’invasatura definitiva.</t>
  </si>
  <si>
    <t>Kit per la presa misura relativa alla categoria 8</t>
  </si>
  <si>
    <t>In associazione alla categoria 8, kit per la presa misura del modello anatomico.</t>
  </si>
  <si>
    <t xml:space="preserve">Smorzatore torsionale; può essere dotato di tubo integrato </t>
  </si>
  <si>
    <t>Smorzatore assiale e torsionale nelle diverse versioni di connessione modulari e diametri tubo.</t>
  </si>
  <si>
    <t xml:space="preserve">Kit specifico per il collegamento tra impianto osteointegrato e protesi di arto superiore. </t>
  </si>
  <si>
    <t xml:space="preserve">Kit specifico per il collegamento tra impianto osteointegrato e protesi di arto inferiore. </t>
  </si>
  <si>
    <t xml:space="preserve">Calza estetica in silicone con eventuale alluce separato per protesi di arto inferiore con dettagli facoltativi aggiungibili come peli, unghie, tatuaggi etc. </t>
  </si>
  <si>
    <t>Cover in stampa 3D con messa a misura da parte del tecnico ortopedico</t>
  </si>
  <si>
    <t>Cover in stampa 3D comprensiva di ginocchio e copertura della parte distale della coscia con messa a misura da parte del tecnico ortopedico</t>
  </si>
  <si>
    <t>Cover in stampa 3D comprensiva di ginocchio e copertura della parte distale della coscia con personalizzazione diretta da parte del tecnico ortopedico. Deve essere compresa la possibilità di inserire logo fornito dal cliente e piccole personalizzazioni su disegni e colorazioni</t>
  </si>
  <si>
    <t>Moduli di arto inferiore specifici per componentistica pediatrica</t>
  </si>
  <si>
    <t>Liner di arto superiore e inferiore</t>
  </si>
  <si>
    <t>Cuffia in TPE, stirene o copolimero senza attacco distale e senza anelli da utilizzare in associazione a ginocchiera. Prodotti con spessori (uniforme o rastremata) e forme differenti (conica, cilindrica) sono da considerare modelli distinti.</t>
  </si>
  <si>
    <t>Cuffie con le stesse caratteristiche della categoria 1a ma realizzate in silicone</t>
  </si>
  <si>
    <t>Cuffie con le stesse caratteristiche della categoria 1a ma realizzate in poliuretano</t>
  </si>
  <si>
    <t>Cuffie con le stesse caratteristiche della categoria 2a ma realizzate in silicone medicale</t>
  </si>
  <si>
    <t>Cuffia in TPE, stirene o copolimero con anello. Prodotti con spessori (uniforme o rastremata) e forme differenti (conica, cilindrica) sono da considerare modelli distinti.</t>
  </si>
  <si>
    <t>Cuffia in silicone medicale con uno o più anelli integrati. Prodotti con spessori (uniforme o rastremata) e forme differenti (conica, cilindrica) sono da considerare modelli distinti.</t>
  </si>
  <si>
    <t>Cuffia in silicone medicale con uno o più anelli amovibili e riposizionabili . Prodotti con spessori (uniforme o rastremata) e forme differenti (conica, cilindrica) sono da considerare modelli distinti.</t>
  </si>
  <si>
    <t>Cuffia in TPE o copolimero con rivestimento in tessuto con sistemi di regolazione della temperatura o della sudorazione. Prodotti con spessori (uniforme o rastremata), forme differenti (conica, cilindrica) ed eventuale presenza di attacchi distali sono da considerare modelli distinti.</t>
  </si>
  <si>
    <t>Cuffia in silicone medicale con sistemi di regolazione della temperatura o della sudorazione. Prodotti con spessori (uniforme o rastremata), forme differenti (conica, cilindrica) ed eventuale presenza di attacchi distali sono da considerare modelli distinti.</t>
  </si>
  <si>
    <t>Cuffia con spessore customizzato e forma realizzato su calco</t>
  </si>
  <si>
    <t xml:space="preserve">Valvola con tappo di chiusura per invasature a contatto totale. Deve comprendere anche tutti i componenti per l'integrazione della cuffia su estetiche di arto inferiore </t>
  </si>
  <si>
    <t>Sistemi di sottovuoto attivo e relativi kit di montaggio, comprensivo di eventuale valvola</t>
  </si>
  <si>
    <t>Fascia per favorire la sospensione della protesi al segmento corporeo prossimale</t>
  </si>
  <si>
    <t>Nella categoria sono compresi anche i meccanismi che combinano oltre al meccanismo di ancoraggio la valvola per sistemi ipobarici</t>
  </si>
  <si>
    <t>Dita cinematiche per amputazioni parziali della mano</t>
  </si>
  <si>
    <t xml:space="preserve">
- calza o manicotto per avvolgere il moncone durante la fase di presa misura
- eventuale pompa specifica per il gonfiaggio anche separato della camera pneumatica
- eventuale camera pneumatica
- eventuale iniettore per resina
- eventuale dima del connettore distale in plastica per la realizzazione dell'invasatura
- eventuale foglio isolante di silicone
- eventuale cuscinetti di scarico in EVA
- ogni ulteriore strumento o accessorio necessario all'attività</t>
  </si>
  <si>
    <t>Articolazione di ginocchio con blocco sblocco automatico in funzione della fase del passo</t>
  </si>
  <si>
    <t>Foglio "Tipologie e Macrocategorie"</t>
  </si>
  <si>
    <t>Note aggiuntive</t>
  </si>
  <si>
    <t>Azienda:</t>
  </si>
  <si>
    <t>Laddove siano indicati vincoli tra categorie o tra macrocategorie:</t>
  </si>
  <si>
    <t>- piede
- eventuale cuneo tallone
- eventuali attacchi modulari differenti da quelli di normale fornitura.
- cover anatomica con calza
- elementi strutturali necessari per il montaggio e la regolazione dell'articolazione per i quali non sia individuabile una specifica categoria del lotto "moduli"
- eventuale sistema di sospensione a "vuoto attivo "se non separabile dal piede, ovvero offribile nella categoria L.14</t>
  </si>
  <si>
    <t>- piede
- eventuali attacchi modulari differenti da quelli di normale fornitura.
- eventuale cuneo tallone
- cover anatomica con calza
- elementi strutturali necessari per il montaggio e la regolazione dell'articolazione per i quali non sia individuabile una specifica categoria del lotto "moduli"
- eventuale sistema di sospensione a "vuoto attivo "se non separabile dal piede, ovvero offribile nella categoria L.14</t>
  </si>
  <si>
    <t>Ginocchio in lega leggera per pazienti in età pediatrica con grado di mobilità basso, che presenta un'articolazione meccanica di tipo monocentrico o policentrico, senza sistemi di controllo idraulico, pneumatico o elettronico.
La stabilità in fase di appoggio del ginocchio deve essere garantita da un sistema di bloccaggio geometrico o da un sistema di frizionamento attivato dal carico del paziente. Durante la fase di oscillazione, la dinamica articolare deve essere regolabile mediante un sistema meccanico di molle o a frizione. L'articolazione deve essere indicata almeno per amputazione transfemorale e preferibilmente anche per disarticolazione del ginocchio, dell'anca o emipelvectomia.
- peso massimo del paziente: non inferiore a 45 kg
- peso componente: non superiore a 350 g
- angolo flessione: non inferiore a 140°</t>
  </si>
  <si>
    <t>Ginocchio che presenta un'articolazione meccanica di tipo monocentrico,  con sistema di controllo idraulico o pneumatico.  Il sistema di controllo deve consentire la regolazione della dinamica dell'articolazione durante la fase di oscillazione, sia in flessione che in estensione. L'articolazione deve essere indicata almeno per amputazione transfemorale e preferibilmente anche per disarticolazione del ginocchio, dell'anca o emipelvectomia.
- peso massimo del paziente: non inferiore a 100 kg se adulto 
- peso componente: non superiore a 1200 g se per adulto 
- angolo flessione: non inferiore a 110°
- grado mobilità: da K2 a K4</t>
  </si>
  <si>
    <t>Ginocchio dotato di sensori elettronici e microprocessore per il controllo continuo delle fasi di appoggio e oscillazione del cammino caratterizzato da un comportamento di default dell'articolazione a bassa resistenza tale da rendere la fase di oscillazione particolarmente agevole anche quando si compiono passi di corti. Il sistema deve adattare dinamicamente il comportamento del ginocchio alle diverse condizioni di deambulazione, garantendo elevata sicurezza durante la postura ortostatica, il cammino, il superamento di rampe e pendenze, la fase di seduta e di rialzata. Devono essere presenti funzioni di prevenzione delle cadute, gestione dall'inciampo e gestione assistita della discesa di rampe. Il ginocchio deve prevedere un sistema di blocco manuale in estensione. Deve essere possibile salire le scale con passo alternato. Deve essere possibile eseguire brevi tratti di corsa leggera.  Il dispositivo deve consentire la personalizzazione dei parametri funzionali mediante software dedicato. Deve essere presente almeno la possibilità di adattare il ginocchio all'utilizzo con la bicicletta (minima resistenza) e il ripristino preferibilmente automatico della funzione di cammino al termine dell'uso della bicicletta. Il software deve potere registrare e rendere disponibile indicatori di utilizzo effettivo dell'articolazione. La possibilità di monitoraggio remoto per valutazione dell'attività e diagnostica è auspicata. Il dispositivo deve mantenere piena operatività in acqua dolce, salata e clorata, nonché in ambienti caratterizzati da sabbia e umidità, con grado di protezione almeno IP68 e possibilità di immersione fino ad almeno 2 metri di profondità. L'articolazione deve essere indicata almeno per amputazione transfemorale e preferibilmente anche per disarticolazione del ginocchio, dell'anca o emipelvectomia.
- peso massimo del paziente: non inferiore a 110 kg
- peso componente: non superiore a 1800 g
- angolo flessione: non inferiore a 120°
- grado mobilità: da K2 a K4
- certificazione IP68</t>
  </si>
  <si>
    <t xml:space="preserve">Soletta in carbonio per la costruzione di protesi per amputazioni parziali di piede non integrabile nella protesi mediante laminazione.
- disponibili almeno in 5 gradazioni di rigidità in funzione del peso e della dinamicità dell'utente
</t>
  </si>
  <si>
    <t xml:space="preserve">Articolazione anca monocentrica in titanio o alluminio con molla di estensione. L'articolazione per adulto deve essere in titanio. Deve poter essere integrata in bustini realizzati in materiale composito. Il meccanismo di estensione deve presentare una molla con possibilità di regolazione continua.  L’abduzione/adduzione e la flessione/estensione, così come la rotazione, devono essere regolabili in modo continuo. L'articolazione deve essere indicata per persone con disarticolazione dell'anca o emipelvectomia. 
- peso massimo per componente: non superiore a 650 g se adulto e 250 g se pediatrico
- range di movimento minimo: non inferiore a 130° se adulto
- peso massimo del paziente: non inferiore a 100 kg e se pediatrica a 45 kg 
- diametro del tubo distale 30 mm se adulto e se pediatrico 22 mm
- grado di mobilità: K2
- K3 per l'adulto
</t>
  </si>
  <si>
    <t>Articolazione  anca monocentrica in titanio o alluminio con meccanismo di controllo del movimento di flesso
-estensione di tipo idraulico. Il sistema di controllo idraulico deve consentire la modulazione della velocità di flessione ed estensione dell'articolazione durante la fase di appoggio e di oscillazione, consentendo una deambulazione più fisiologica rispetto all'anca senza controllo idraulico. L'articolazione deve essere indicata per persone con disarticolazione dell'anca o emipelvectomia.
- peso massimo per componente: non superiore a 700 g
- range di movimento minimo: non inferiore a 120 °
- peso massimo del paziente: non inferiore a 125 kg
- grado di mobilità: K2
- K3</t>
  </si>
  <si>
    <t>Articolazione anca policentrica in alluminio. L'articolazione deve presentare un sistema idraulico con possibilità di regolazione indipendente della velocità di estensione e flessione dell'articolazione durante la fase di appoggio e oscillazione del cammino. L'articolazione deve presentare un meccanismo di tipo policentrico in grado di replicare il movimento su più piani dell'articolazione fisiologica. L'articolazione deve essere indicata per persone con disarticolazione dell'anca o emipelvectomia.
- movimento multiplanare dell'articolazione durante la flessione ed estensione
- peso massimo per componente: non superiore a 1 kg
- range di movimento minimo: non inferiore a 120 °
- peso massimo del paziente: non inferiore a 100 kg
- grado mobilità: K2
-K3</t>
  </si>
  <si>
    <t>Ginocchio in titanio per pazienti con grado di mobilità basso, che presenta un'articolazione meccanica di tipo monocentrico o policentrico, senza sistemi di controllo idraulico, pneumatico o elettronico.
La stabilità in fase di appoggio del ginocchio deve essere garantita da un sistema di bloccaggio geometrico o da un sistema di frizionamento attivato dal carico del paziente. Durante la fase di oscillazione, la dinamica articolare deve essere regolabile mediante un sistema meccanico di molle o a frizione.  L'articolazione deve essere indicata almeno per amputazione transfemorale e preferibilmente anche per disarticolazione del ginocchio, dell'anca o emipelvectomia.
- peso massimo del paziente: non inferiore a 100 kg
- peso componente: non superiore a 750 g
- angolo flessione: non inferiore a 100°
- grado mobilità: K1
-K2</t>
  </si>
  <si>
    <t>Ginocchio in lega leggera per pazienti adulti con grado di mobilità basso, che presenta un'articolazione meccanica di tipo monocentrico o policentrico, senza sistemi di controllo idraulico, pneumatico o elettronico.
La stabilità in fase di appoggio del ginocchio deve essere garantita da un sistema di bloccaggio geometrico o da un sistema di frizionamento attivato dal carico del paziente. Durante la fase di oscillazione, la dinamica articolare deve essere regolabile mediante un sistema meccanico di molle o a frizione. L'articolazione deve essere indicata almeno per amputazione transfemorale e preferibilmente anche per disarticolazione del ginocchio, dell'anca o emipelvectomia.
- peso massimo del paziente: non inferiore a 100 kg
- peso componente: non superiore a 700 g 
- angolo flessione: non inferiore a 140° 
- grado mobilità: K1
- K2</t>
  </si>
  <si>
    <t>Ginocchio in titanio per pazienti con grado di mobilità basso, che presenta un'articolazione meccanica di tipo monocentrico o policentrico, senza sistemi di controllo idraulico, pneumatico o elettronico, ma dotato di meccanismo per il blocco in estensione dell'articolazione attivabile dall'utente.
La stabilità in fase di appoggio del ginocchio deve essere garantita da un sistema di bloccaggio geometrico o da un sistema di frizionamento attivato dal carico del paziente. Durante la fase di oscillazione, la dinamica articolare deve essere regolabile mediante un sistema meccanico di molle o a frizione.  L'articolazione deve essere indicata almeno per amputazione transfemorale e preferibilmente anche per disarticolazione del ginocchio, dell'anca o emipelvectomia.
- peso massimo del paziente: non inferiore a 125 kg  e a 45 kg se pediatrico
- peso componente: non superiore a 800 g 
- angolo flessione: non inferiore a 110°
- grado mobilità: K1
- K2</t>
  </si>
  <si>
    <t>Ginocchio in lega leggera per pazienti con grado di mobilità basso, che presenta un'articolazione meccanica di tipo monocentrico o policentrico, senza sistemi di controllo idraulico, pneumatico o elettronico, ma dotato di meccanismo per il blocco in estensione dell'articolazione attivabile dall'utente.
La stabilità in fase di appoggio del ginocchio deve essere garantita da un sistema di bloccaggio geometrico o da un sistema di frizionamento attivato dal carico del paziente. Durante la fase di oscillazione, la dinamica articolare deve essere regolabile mediante un sistema meccanico di molle o a frizione.  L'articolazione deve essere indicata almeno per amputazione transfemorale e preferibilmente anche per disarticolazione del ginocchio, dell'anca o emipelvectomia.
- peso massimo del paziente: non inferiore a 100 kg se adulto e a 45 kg se pediatrico
- peso componente: non superiore a 300 g e se pediatrico 150 g
- angolo flessione: non inferiore a 150° 
- grado mobilità: K1
-K2</t>
  </si>
  <si>
    <t>Ginocchio che presenta un'articolazione meccanica di tipo monocentrico, senza sistemi di controllo idraulico, pneumatico o elettronico, ma dotato di meccanismo per il blocco in estensione dell'articolazione attivabile dall'utente. Inoltre, il ginocchio deve essere certificato per l'utilizzo in immersione in acqua salata e clorata. L'articolazione deve essere indicata almeno per amputazione transfemorale e preferibilmente anche per disarticolazione del ginocchio, dell'anca o emipelvectomia.
- peso massimo del paziente: non inferiore a 140 kg 
- peso componente: non superiore a 400 g 
- angolo flessione: non inferiore a 130°
- grado mobilità: K1
-K2</t>
  </si>
  <si>
    <t>Ginocchio che presenta un'articolazione meccanica di tipo policentrico, senza sistemi di controllo idraulico, pneumatico o elettronico, ma dotato di meccanismo per il blocco in estensione dell'articolazione attivabile dall'utente. Inoltre, il ginocchio deve essere certificato per l'utilizzo in immersione in acqua salata e clorata. L'articolazione deve essere indicata almeno per amputazione transfemorale e preferibilmente anche per disarticolazione del ginocchio, dell'anca o emipelvectomia.
- peso massimo del paziente: almeno 140kg
- peso componente: non superiore a 700 g
- angolo flessione: non inferiore a 130°
- grado mobilità: K1
-K2</t>
  </si>
  <si>
    <t>Ginocchio che presenta un'articolazione meccanica di tipo monocentrico,  con sistema di controllo di idraulico o pneumatico.  Il sistema di controllo deve consentire la regolazione della dinamica dell'articolazione durante la fase di oscillazione, sia in flessione che in estensione. Inoltre,  il ginocchio deve essere certificato per l'utilizzo in immersione in acqua salata e clorata. L'articolazione deve essere indicata almeno per amputazione transfemorale e preferibilmente anche per disarticolazione del ginocchio, dell'anca o emipelvectomia.
- peso massimo del paziente: non inferiore a 100 kg
- peso componente: non superiore a 1300 g
- angolo flessione: non inferiore a 140°
- grado mobilità: K3
-K4</t>
  </si>
  <si>
    <t>Ginocchio che presenta un'articolazione meccanica di tipo policentrica,  con sistema di controllo di idraulico o pneumatico.  Il sistema di controllo deve consentire la regolazione della dinamica dell'articolazione durante la fase di oscillazione, sia in flessione che in estensione. L'articolazione deve essere indicata almeno per amputazione transfemorale e preferibilmente anche per disarticolazione del ginocchio, dell'anca o emipelvectomia.
- peso massimo del paziente: non inferiore a 100kg se adulto e a 45 kg se pediatrico
- peso componente: non superiore a 1200 g e 350g se pediatrico
- angolo flessione: non inferiore a 100°
- grado mobilità: K1
-K4</t>
  </si>
  <si>
    <t>Ginocchi elettronici con microprocessore per pazienti con livello di mobilità K1
-K2</t>
  </si>
  <si>
    <t>Ginocchio dotato di sensori elettronici e microprocessore per il controllo continuo delle fasi di appoggio e oscillazione del cammino. Il sistema deve adattare dinamicamente il comportamento del ginocchio alle diverse condizioni di deambulazione, garantendo elevata sicurezza durante la postura ortostatica, il cammino, il superamento di rampe e pendenze, la fase di seduta e di rialzata. Il dispositivo deve operare con modalità di default ad alta resistenza. Devono essere presenti funzioni di prevenzione delle cadute, gestione dall'inciampo e gestione assistita della discesa di rampe. Il ginocchio deve prevedere un sistema di blocco manuale in estensione. Il dispositivo deve consentire la personalizzazione dei parametri funzionali mediante software dedicato.  Mediante il software deve inoltre essere possibile la modulazione del livello di sicurezza dell'articolazione durante la deambulazione, in modo che questa possa essere adattata ad un eventuale aumento di mobilità dell'assistito. Deve essere presente almeno la possibilità di adattare il ginocchio all'utilizzo con la bicicletta (minima resistenza) e il ripristino preferibilmente automatico della funzione di cammino al termine dell'uso della bicicletta. Il software deve potere registrare e rendere disponibile indicatori di utilizzo effettivo dell'articolazione. L'articolazione deve essere indicata almeno per amputazione transfemorale e preferibilmente anche per disarticolazione del ginocchio, dell'anca o emipelvectomia. La possibilità di monitoraggio remoto per valutazione dell'attività e diagnostica è auspicata. 
- peso massimo del paziente: non inferiore a 125 kg
- peso componente: non superiore a 1000 g
- angolo flessione: non inferiore a 120°
- grado mobilità: K1
-K2</t>
  </si>
  <si>
    <t>Ginocchio passivo a controllo elettronico con modalità di funzionamento di default a bassa resistenza per pazienti di livello da K2
-K3</t>
  </si>
  <si>
    <t>Ginocchio passivo a controllo elettronico con modalità di funzionamento di default a bassa resistenza per pazienti di livello da K2
-K4, con certificazione di IP68</t>
  </si>
  <si>
    <t>Ginocchio passivo a controllo elettronico con modalità di funzionamento di default ad alta resistenza per pazienti di livello da K2
-K4</t>
  </si>
  <si>
    <t>Ginocchio passivo a controllo elettronico con modalità di funzionamento di default ad alta resistenza per pazienti di livello da K2
-K4, con certificazione di IP68</t>
  </si>
  <si>
    <t>Ginocchio dotato di sensori elettronici e microprocessore per il controllo continuo delle fasi di appoggio e oscillazione del cammino caratterizzato da un comportamento di default dell'articolazione ad alta resistenza tale da consentire la massima sicurezza dell'utente durante la fase di appoggio, anche repentina e tale da permettere all'articolazione di essere in sicurezza a batteria esaurita. Il sistema deve adattare dinamicamente il comportamento del ginocchio alle diverse condizioni di deambulazione, garantendo elevata sicurezza durante la postura ortostatica, il cammino, il superamento di rampe e pendenze, la fase di seduta e di rialzata. Devono essere presenti funzioni di prevenzione delle cadute, gestione dall'inciampo e gestione assistita della discesa di rampe. Deve essere possibile salire le scale con passo alternato. Deve essere possibile eseguire brevi tratti di corsa leggera.  Il ginocchio deve prevedere la possibilità di rimanere flesso in sicurezza in condizioni ortostatiche. Il dispositivo deve consentire la personalizzazione dei parametri funzionali mediante software dedicato.  Deve essere presente almeno la possibilità di adattare il ginocchio all'utilizzo con la bicicletta (minima resistenza) e il ripristino preferibilmente automatico della funzione di cammino al termine dell'uso della bicicletta. Il dispositivo deve mantenere la piena funzionalità in acqua dolce, salata e clorata, essere resistente alla corrosione e possedere un grado di protezione non inferiore a IP68, con possibilità di immersione fino ad almeno 2 metri di profondità.  La possibilità di monitoraggio remoto per valutazione dell'attività e diagnostica è auspicata. L'articolazione deve essere indicata almeno per amputazione transfemorale e preferibilmente anche per disarticolazione del ginocchio, dell'anca o emipelvectomia.
- peso massimo del paziente: non inferiore a 150 kg
- peso componente: non superiore a 1800 g
- angolo flessione: non inferiore a 130°
- grado mobilità: da K2 a K4</t>
  </si>
  <si>
    <t>Ginocchio dotato di sensori elettronici e microprocessore per il controllo continuo della fase di oscillazione del cammino. La fase statica deve essere gestita attraverso sistemi di tipo meccanico. Il sistema deve adattare dinamicamente il comportamento del ginocchio alle diverse condizioni di deambulazione. In caso di esaurimento della batteria, il dispositivo deve consentire una deambulazione almeno a velocità fissa. Devono essere presenti funzioni per la gestione assistita della discesa di scale e rampe. Deve essere presente almeno la possibilità di adattare il ginocchio all'utilizzo con la bicicletta (minima resistenza) e il ripristino preferibilmente automatico della funzione di cammino al termine dell'uso della bicicletta. Il dispositivo deve consentire la personalizzazione dei parametri funzionali mediante software dedicato. Il software deve potere registrare e rendere disponibile indicatori di utilizzo effettivo dell'articolazione. La possibilità di monitoraggio remoto per valutazione dell'attività e diagnostica è auspicata. L'articolazione deve essere indicata almeno per amputazione transfemorale e preferibilmente anche per disarticolazione del ginocchio, dell'anca o emipelvectomia.
- peso massimo del paziente: non inferiore a 100 kg
- peso componente: non superiore a 1400 g
- angolo flessione: non inferiore a 135°
- grado mobilità: K3
-K4</t>
  </si>
  <si>
    <t>Ginocchi dotati di attuatore elettromeccanico alimentato a batteria, controllato da sensori e microprocessore, in grado di generare attivamente potenza durante le attività della vita quotidiana. Il sistema deve fornire assistenza attiva alla flessione e all’estensione dell’articolazione, adattando in tempo reale il proprio comportamento alle intenzioni e alle esigenze funzionali dell’utilizzatore. Devono essere garantiti il controllo continuo delle fasi di appoggio e oscillazione, il supporto attivo durante la deambulazione, il passaggio dalla posizione seduta alla stazione eretta e la gestione di scale e pendenze. Il dispositivo deve potere essere personalizzato mediante un'app dedicata, attraverso cui possano anche essere configurate modalità di utilizzo speciale: tra queste deve essere presente almeno la modalità bicicletta, con ritorno preferibilmente automatico alla modalità cammino. Il software deve potere registrare e rendere disponibile indicatori di utilizzo effettivo dell'articolazione. La possibilità di monitoraggio remoto per valutazione dell'attività e diagnostica è auspicata. L'articolazione deve essere indicata almeno per amputazione transfemorale e preferibilmente anche per disarticolazione del ginocchio, dell'anca o emipelvectomia.
- peso massimo del paziente: non inferiore a 116 kg
- peso componente: non superiore a 2600 g
- angolo flessione: non inferiore a 120°
- grado mobilità: K2
-K3</t>
  </si>
  <si>
    <t>Ginocchio di tipo monocentrico o policentrico specificamente progettati per attività sportive e corsa. Il dispositivo deve essere dotato di sistemi meccanici e/o idraulici e/o pneumatici ottimizzati per garantire elevata fluidità della fase oscillante e rapida risposta alle variazioni di velocità tipiche della corsa veloce (sprinting). Deve essere possibile la regolazione separata della resistenza in flessione e della velocità di estensione.  L'articolazione deve essere indicata per amputazione transfemorale e disarticolazione del ginocchio.
- peso massimo del paziente: non inferiore a 100 kg 
- peso componente: non superiore a 685 g
- angolo flessione: non inferiore a 130°
- grado mobilità: K3
-K4</t>
  </si>
  <si>
    <t xml:space="preserve">Ginocchio progettato specificatamente per discipline sportive caratterizzate da movimenti dinamici e continui di flessione ed estensione dell’arto, quali sport invernali, motociclismo etc. Il dispositivo deve essere dotato di sistemi di smorzamento regolabili meccanici, pneumatici e/o idraulici in grado di garantire controllo, stabilità e risposta dinamica durante l’attività sportiva. Devono essere presenti sistemi per la regolazione personalizzata del comportamento articolare, funzioni che consentano agevolmente il passaggio alla posizione seduta e caratteristiche costruttive che assicurino robustezza, resistenza all’usura e impermeabilità. Indicato per utenti con amputazione transfemorale o disarticolazione di ginocchio impegnati in attività sportive ad elevata richiesta funzionale.
- peso massimo del paziente: non inferiore a 100 kg
- peso componente: non superiore a 2150 g
- grado mobilità: K3
-K4
</t>
  </si>
  <si>
    <t>Piede SACH (Solid Ankle Cushion Heel – caviglia rigida e tallone ammortizzante) realizzato con parte interna in legno/materiale plastico ed esternamente in schiuma polimerica, per le realizzazione di protesi di arto inferiori 
- peso massimo del paziente:  non inferiore a 80 kg
- peso componente (per misura piede 26): non superiore a 700 g
- grado mobilità: K1
-K2</t>
  </si>
  <si>
    <t>Piede così detto "dinamico" per livelli di mobilità basso o moderato, realizzati con struttura interna in materiali plastici, legno, elastomeri e/o materiali compositi.  Devono essere presenti elementi funzionali in grado di migliorare la dinamica dell’avampiede e l’adattamento alle irregolarità del terreno rispetto ad un piede SACH, favorendo stabilità, comfort e sicurezza durante la deambulazione quotidiana.
- peso massimo del paziente: se uomo non inferiore a 100 kg, se donna 75 kg.
- peso componente: non superiore a 800 g
- grado mobilità: K1
-K2</t>
  </si>
  <si>
    <t>Piede con struttura interna realizzata in legno, materiali plastici, schiume polimeriche e/o altri materiali equivalenti, dotato di articolazione meccanica alla tibio
-tarsica a singolo asse o equivalente. La struttura deve assicurare adeguato assorbimento degli urti e stabilità durante la deambulazione quotidiana, risultando idonea per l’impiego in protesi transfemorali e, ove previsto dal costruttore, in altre tipologie di amputazione dell’arto inferiore.
- peso massimo del paziente:  non inferiore a 100 kg
- peso componente più articolazione: non superiore a 850g
- grado mobilità: K1
-K2</t>
  </si>
  <si>
    <t>Piede per la realizzazione di protesi da bagno. Costruito con materiali polimerici ad elevata resistenza e progettato per impedire la penetrazione dell'acqua nei componenti strutturali. Dotato, ove previsto, di adattatore in titanio resistente alla corrosione e sistema di sigillatura degli elementi di collegamento. Deve presentare una conformazione del piede con dita definite e alluce separato, superficie plantare antiscivolo, tali da garantire elevata aderenza e sicurezza su superfici bagnate.
- peso massimo del paziente: non inferiore a 100 kg
- peso componente: non superiore a 650 g
- grado mobilità: K1
-K3</t>
  </si>
  <si>
    <t>Piede realizzato in materiale composito almeno adatto per  le categorie K2
-K3</t>
  </si>
  <si>
    <t>Piede in materiale composito, anche detto “ad accumulo e restituzione di energia”, almeno adatto per  le categorie K2
-K3. Il dispositivo dovrà assicurare l'accumulo dell'energia durante l'appoggio calcalenare in modo da favorire la transizione in midstance. Dovrà quindi proseguire l'accumulo di energia fino al rilascio completo della stessa in terminal stance e pre
-swing. La struttura dovrà pertanto agevolare la pregressione fisiologica del passo,  contribuendo alla riduzione delle sollecitazioni sull'arto controlaterale e alla simmetria complessiva del passo.
- peso massimo del paziente:  non inferiore a 100 kg uomini e 75 kg donne
- peso componente: non superiore a 900 g
- grado mobilità: K2
-K3</t>
  </si>
  <si>
    <t>Piede realizzato in materiale composito almeno adatto per  le categorie K2
-K3 e con meccanismi di compensazione torsionale e/o shock absorber</t>
  </si>
  <si>
    <t>Piede in materiale composito con elemento aggiuntivo "shock absorber" che permette all'utente la compensazione torsionale e/o l'ammortizzazione delle forze verticali durante il cammino mediante un meccanismo integrato nel piede, ossia non collegato  all’attacco piramidale del piede. Il dispositivo dovrà garantire un'efficace riduzione delle sollecitazioni trasmesse al moncone e alle articolazioni residue, favorendo comfort, stabilità e controllo durante il cammino. Dovrà inoltre assicurare una progressione fluida del passo, adeguata restituzione di energia e capacità di adattamento a differenti condizioni e superfici di utilizzo.
- peso massimo del paziente:  non inferiore a 120 kg
- peso componente: non superiore a 1200 g
- grado mobilità: K2
-K3</t>
  </si>
  <si>
    <t>Piede realizzato in materiale composito almeno adatto per  le categorie K2
-K3 e con articolazione di tipo meccanico o idraulico (senza controllo elettronico)</t>
  </si>
  <si>
    <t>Piede in materiale composito con articolazione meccanica o idraulica senza controllo elettronico integrato per la riproduzione delle funzionalità della caviglia.
Progettato per favorire l'adattamento a superfici irregolari e pendenze, migliorando stabilità, comfort e sicurezza durante il cammino. Il dispositivo dovrà consentire movimenti controllati di flessione plantare e dorsale e/o adattamenti multidirezionali, garantendo una progressione fluida del passo, un'efficace restituzione di energia e una riduzione delle sollecitazioni trasmesse al moncone e all'arto controlaterale.
- peso massimo del paziente:  non inferiore a 120 kg
- peso componente: non superiore a 1000 g 
- grado mobilità: K2
-K3</t>
  </si>
  <si>
    <t xml:space="preserve">Piede realizzato in materiale composito almeno adatto per  le categorie K2
-K3 e con possibilità di regolazione dell’altezza del tacco </t>
  </si>
  <si>
    <t>Piede protesico in materiale composito con altezza del tacco regolabile, progettato per consentire l'utilizzo di differenti tipologie di calzature senza compromettere allineamento, postura, stabilità e funzionalità del sistema protesico. Il dispositivo dovrà permettere una regolazione semplice e ripetibile dell'altezza del tacco in un intervallo almeno compreso tra 0 e 50 mm, garantendo una progressione fluida del passo, adeguato ritorno di energia e comfort nelle attività quotidiane.
- peso massimo del paziente: non inferiore a 100 kg
- peso componente: non superiore a 950 g
- grado mobilità: K2
-K3</t>
  </si>
  <si>
    <t>Piede realizzato in materiale composito almeno adatto per  le categorie K2
-K3 e con altezza totale inferiore a 100 mm</t>
  </si>
  <si>
    <t>Piede in materiale composito con un'altezza al di sotto di 100mm per la costruzione di protesi per amputazione transtibiale di utenti con moncone lungo. Questo deve prevedere un’interfaccia con l'adattatore dell'invasatura mediante attacco piramidale. L’altezza si intende calcolata con cover anatomica montata sul piede senza considerare l’altezza della piramide. Il dispositivo dovrà garantire adeguato accumulo e restituzione di energia, progressione fluida del passo e comfort durante la deambulazione, mantenendo elevate prestazioni dinamiche nonostante la ridotta altezza costruttiva. Dovrà inoltre favorire l'adattamento a differenti condizioni di utilizzo e superfici di cammino, assicurando stabilità, naturalezza del movimento e riduzione delle sollecitazioni trasmesse all'arto residuo.
- peso massimo del paziente: non inferiore a 120 kg
- peso componente: non superiore a 800 g
- grado mobilità: K2
-K3</t>
  </si>
  <si>
    <t>Piede realizzato in materiale composito almeno adatto per  le categorie K2
-K3 e specifico per amputazioni Syme/Pirogoff senza attacco piramidale con e senza adattatore</t>
  </si>
  <si>
    <t>Piede in materiale composito con un'altezza al di sotto di 60mm per la costruzione di protesi per utenti con amputazioni Syme e Pirogoff e per utenti con amputazione transtibiali con moncone lungo. Il piede deve prevedere un’interfaccia meccanica per laminazione diretta.
L’altezza si intende calcolata con cover montata sul piede senza considerare l’altezza della piramide.
Il dispositivo dovrà garantire una deambulazione dinamica e confortevole, con adeguato assorbimento degli urti e restituzione di energia, mantenendo elevate prestazioni funzionali nonostante la ridotta altezza costruttiva. Dovrà inoltre consentire un corretto allineamento protesico e favorire stabilità, sicurezza e naturale progressione del passo nelle attività quotidiane.
- peso massimo del paziente: non inferiore a 120 kg
- peso componente: non superiore a 800 g
- grado mobilità: K2
-K3</t>
  </si>
  <si>
    <t>Lamina in carbonio integrabile mediante laminazione in protesi per amputazioni dalla parziale di piede. 
- peso massimo del paziente: non inferiore a 125 kg
- peso componente: non superiore a 150 g
- grado mobilità: K2
-K4</t>
  </si>
  <si>
    <t>Piede in materiale composito, anche detto “ad accumulo e restituzione di energia”, adatto fino alla categoria K2 compresa. Il dispositivo dovrà garantire stabilità, comfort e fluidità del cammino, assicurando adeguato assorbimento degli urti, restituzione di energia e adattamento alle normali condizioni di utilizzo quotidiano.
- peso massimo del paziente: non inferiore a 100 kg
- peso componente: non superiore a 700 g
- grado mobilità: almeno K1
-K2</t>
  </si>
  <si>
    <t>Piede realizzato in materiale composito almeno adatto per  le categorie K2
-K3 e con articolazione a controllo elettronico</t>
  </si>
  <si>
    <t>Piede in materiale composito dotato di sistema a controllo elettronico mediante microprocessore per la riproduzione delle funzionalità della caviglia, con articolazione meccanica o idraulica. Il piede è in grado di adattare automaticamente il comportamento del dispositivo alle diverse condizioni di utilizzo e alle variazioni del terreno. Il sistema dovrà favorire una deambulazione più naturale e sicura, migliorando la stabilità su superfici piane, inclinate e scale, aumentando la distanza della punta dal suolo durante la fase oscillante e riducendo il rischio di inciampo. Dovrà inoltre garantire una gestione dinamica della risposta articolare in funzione della velocità di cammino e delle condizioni di carico, contribuendo a una distribuzione più fisiologica delle sollecitazioni e a un maggiore comfort dell'utilizzatore. Deve essere prevista una app che consenta la personalizzazione dei parametri della caviglia a controllo elettronico. L'app deve consentire il monitoraggio dell'effettivo utilizzo dell'articolazione. E' auspicabile la possibilità di monitoraggio remoto e diagnostica remota.
- peso massimo del paziente: non inferiore a 125 kg
- peso componente: non superiore a 1500 g
- grado mobilità: K2
-k3</t>
  </si>
  <si>
    <t>Piede specifico per corsa, sprinting e/o salto in lungo, senza tacco, con forma a J. Realizzato in materiale composito ad elevata restituzione di energia, dovrà garantire leggerezza, elevata propulsione, reattività e stabilità, assicurando prestazioni ottimali nelle attività sportive di corsa e sprint ad alto livello. Deve essere disponibile con categorie adeguate al peso dell'atleta e possibilmente diverse altezze per adattarsi all'altezza dell'atleta. 
- peso massimo del paziente: in funzione della categoria, tali da coprire almeno l'intervallo fra 50 kg e 130 kg
- grado mobilità: K3
-K4</t>
  </si>
  <si>
    <t>Piede specifico per corsa, sprinting e/o salto in lungo, senza tacco, con forma a C. 
Realizzato in materiale composito ad elevata restituzione di energia, dovrà garantire elevata reattività, assorbimento degli urti, stabilità e spinta dinamica per attività sportive ad alto impatto, favorendo prestazioni ottimali nelle discipline di corsa e salto. Deve essere disponibile con categorie adeguate al peso dell'atleta e possibilmente diverse altezze per adattarsi all'altezza dell'atleta.
- peso massimo del paziente: in funzione della categoria, tali da coprire almeno l'intervallo fra 50 kg e 130 kg
- peso componente: non superiore a 1100 g 
- grado mobilità: K3
-K4</t>
  </si>
  <si>
    <t>Piede specifico per utilizzo in combinazione con attrezzature sportive invernali quali sci e snowboard. Progettato per garantire stabilità, controllo e gestione delle sollecitazioni dinamiche durante l'attività sportiva, dovrà assicurare elevata resistenza, affidabilità e adeguate prestazioni nelle diverse condizioni di utilizzo.
- peso massimo del paziente: non inferiore a 100 kg
- peso componente: non superiore a 1150 g
- grado mobilità: K3
-K4</t>
  </si>
  <si>
    <t>Piedi per lo sport 
- offerta vincolata FS.1 e FS.2</t>
  </si>
  <si>
    <t>Piedi per lo sport 
- offerta vincolata F.1 e F.2</t>
  </si>
  <si>
    <t>Adattatori realizzati in lega leggera o acciaio inossidabile, con o senza filetto, per protesi modulari di arto inferiore, sia transtibiali che transfemorali. 
La categoria comprende sia adattatori  per tubi di diametro 30 e 34mm, che adattatori con ricevitore piramidale usati per compensare dismetrie. La categoria comprende inoltre adattatori con collegamento maschio e/o femmina (con piramide e/o ricevitore), centrati o decentrati, singoli o doppi.
- peso massimo utente: non inferiore a 100kg
- diametri ammessi: 30mm e 34mm</t>
  </si>
  <si>
    <t>Adattatori realizzati in titanio, con o senza filetto, per protesi modulari di arto inferiore, sia transtibiali che transfemorali. 
La categoria comprende sia adattatori  per tubi di diametro 30 e 34mm, che adattatori con ricevitore piramidale usati per compensare dismetrie. La categoria comprende inoltre adattatori con collegamento maschio e/o femmina (con piramide e/o ricevitore), centrati o decentrati, singoli o doppi.  
- peso massimo utente: non inferiore a 100kg
- diametri ammessi: 30mm e 34mm</t>
  </si>
  <si>
    <t>Adattatori realizzati in lega leggera o acciaio inossidabile, con differenti inclinazioni, destinati al collegamento tra tubi modulari e componentistica protesica per protesi transfemorali nei casi di emipelvectomie e/o disarticolazione di bacino. 
- range di inclinazione compreso tra 10° e 30°</t>
  </si>
  <si>
    <t>Adattatori a slitta realizzati in lega leggera o acciaio inossidabile, utilizzati per il collegamento dei moduli nelle protesi transtibiali e transfemorali. Tali adattatori permettono la regolazione e l'allineamento dei componenti protesici distali e prossimali sia sul piano sagittale che frontale.
La categoria comprende adattatori di diversi diametri, nelle configurazioni maschio e/o femmina (con piramide e/o ricevitore), centrati o decentrati, singoli o doppi.   
- peso massimo utente: non inferiore a 125kg
- range di ampiezza massima di regolazione (o range di traslazione): non inferiore a 20mm</t>
  </si>
  <si>
    <t>Tubi in lega leggera e/o acciaio inossidabile utilizzati per il collegamento tra elementi modulari a struttura centrale piramidale per protesi di arto inferiore. 
La categoria comprende tubi di diametro 30 e 34mm, di lunghezza diversa utilizzabili sia in combinazione con adattatori modulari separati (vedi categoria M.1 e M.2), sia integrati con ricevitore piramidale.
Sono inclusi tubi destinati sia alla protesi definitiva, che tubi a lunghezza regolabile mediante un sistema di serraggio dedicato, utilizzati durante la fase di allineamento statico e dinamico.  
- peso massimo utente: non inferiore a 100kg</t>
  </si>
  <si>
    <t>Tubi in titanio di diametro 30 e 34mm, usati per il collegamento tra elementi modulari a struttura centrale piramidale. 
La categoria comprende inoltre tubi inclinati per compensare differenti angoli di allineamento e tubi dedicati per la realizzazione di protesi da bagno e certificati per l'immersione in acqua salata. 
- peso massimo utente: non inferiore a 100kg</t>
  </si>
  <si>
    <t xml:space="preserve">Tubo per protesi di arto inferiore realizzato in acciaio inossidabile e/o lega leggera, composto da due parti che ne consentono l'allungamento telescopico.  
- peso massimo utente: non inferiore a 100kg
- diametri ammessi del tubo: 30mm e 34mm
</t>
  </si>
  <si>
    <t>Attacchi realizzati in acciaio inossidabile con nucleo piramidale centrale di tipo maschio o femmina, fisso o ruotabile, dotati di tre o quattro flange (alette) utilizzati per il collegamento della componentistica per protesi di arto inferiore. 
Tali adattatori sono integrabili direttamente nell'invasatura durante il processo di laminazione.  
- peso massimo utente: non inferiore a 100kg</t>
  </si>
  <si>
    <t xml:space="preserve">Sistema modulare che consente al paziente, in maniera rapida e autonoma, la disconnessione della componentistica protesica distale, anche in presenza di sistemi ipobarici, mediante leve o pulsanti di sgancio.
Il sistema offerto dovrà essere composto da tutti i moduli di interconnessione disponibili. 
- peso massimo utente: non inferiore a 150 kg (125kg, nel caso di protesi sportive)
</t>
  </si>
  <si>
    <t>Attacchi realizzati in titanio, alluminio o acciaio inossidabile, utilizzati per la connessione tra l'invasatura e il tubo in protesi di arto inferiore. Costituiti da una piastrina con quattro fori ISO M4 e con struttura centrale piramidale di tipo  maschio o femmina, fissa o scorrevole, ovvero posta su dei carrelli ad uno o più gradi di libertà. 
- peso massimo utente: non inferiore a 125kg</t>
  </si>
  <si>
    <t>Attacco a quattro fori 
- eccentrico</t>
  </si>
  <si>
    <t>Attacchi destinati al collegamento tra l'invasatura e il tubo modulare per protesi di arto inferiore, costituiti da una piastrina di connessione a quattro fori ISO M4 e da una struttura piramidale di tipo maschio o femmina, con assialità eccentrica (o con piramide decentrata) 
- peso massimo utente: non inferiore a 125kg</t>
  </si>
  <si>
    <t>Attacco a quattro fori realizzato in materiale plastico e legno destinato all'incollaggio diretto su prolungamenti in poliuretano espanso e successiva laminazione, utilizzato tipicamente per la realizzazione di protesi transtibiali di tipo tradizionale. 
- peso massimo utente: non inferiore a 125kg</t>
  </si>
  <si>
    <t>Componenti modulari utilizzati per nelle protesi transfemorali, in grado di consentire la rotazione della componentistica distale rispetto alla prossimale, dotati di un pulsante di sblocco meccanico. La categoria comprende anche eventuali moduli per la protesi da bagno 
- peso massimo utente: non inferiore a 150kg</t>
  </si>
  <si>
    <t>Smorzatore torsionale per protesi di arto inferiore, dotato di piastra a 4 fori per il collegamento prossimale e di attacco piramidale femmina per il collegamento distale, con eventuale tubo integrato. 
Consente una diminuzione delle rotazioni trasversali (forze di taglio) durante il cammino, contribuendo a ridurre le sollecitazioni sul moncone.  
- peso massimo utente: non inferiore a 150kg</t>
  </si>
  <si>
    <t>Smorzatore torsionale e assiale per protesi di arto inferiore nelle diverse versioni di connessione modulari distali e diametri diversi del tubo. 
- peso massimo utente: non inferiore a 150kg</t>
  </si>
  <si>
    <t>Attacchi realizzati in acciaio inossidabile con nucleo piramidale centrale di tipo maschio o femmina, fisso o ruotabile, dotati di tre o quattro flange (alette) utilizzati per il collegamento della componentistica pediatrica nelle protesi di arto inferiore. 
Tali adattatori sono integrabili direttamente nell'invasatura durante il processo di laminazione.  
- peso massimo utente: non inferiore a 45kg</t>
  </si>
  <si>
    <t>Moduli di arto inferiore specifici per componentistica pediatrica. Sono ricompresi nella categoria: adattatori  per il collegamento della componentistica modulare, tubi  per il collegamento della componentistica modulare, attacco a quattro fori per la connessione tra l'invasatura e il tubo in protesi di arto inferiore. 
- peso massimo utente: non inferiore a 45kg</t>
  </si>
  <si>
    <t>Moduli idonei per protesi di arto inferiore da bagno
Attacchi idonei per protesi di arto inferiore da bagno, realizzati in acciaio inossidabile con nucleo piramidale centrale di tipo maschio o femmina, fisso o ruotabile, dotati di tre o quattro flange (alette) utilizzati per il collegamento della componentistica per protesi di arto inferiore. 
Tali adattatori sono integrabili direttamente nell'invasatura durante il processo di laminazione.  
- peso massimo utente: non inferiore a 150kg</t>
  </si>
  <si>
    <t>Attacco di collegamento integrato con maglie in materiale composito (fibra di vetro o carbonio) utilizzati per la realizzazione di invasature per amputazioni di arto inferiore. Sono da intendersi parte integrante dell’offerta prodotta tutti gli accessori e consumabili necessari per la realizzazione dell’invasatura definitiva 
- attacco di collegamento integrato per modulistica di arto inferiore</t>
  </si>
  <si>
    <t>Invasature arto inferiore 
- offerta vincolata a categoria MI.1</t>
  </si>
  <si>
    <t xml:space="preserve">Calza estetica in silicone con eventuale alluce separato per protesi di arto inferiore. Su richiesta specifica deve essere possibile la personalizzazione con dettagli facoltativi come peli, unghie, tatuaggi etc. entro un set predefinito di opzioni
- range di misura piede: 22 
-30
- possibilità di scelta tra almeno 10 diverse colorazioni
- possibilità di definire la circonferenza del polpaccio per una maggiore vestibilità
- possibilità di scelta tra versione con alluce separato o alluce chiuso
</t>
  </si>
  <si>
    <t>Cuffia con o senza rivestimento in tessuto, realizzata in elastomero termoplastico (TPE), stirene o copolimero senza anelli da utilizzare in associazione a sistemi di attacco distale (es: pin
-lock o “a fettuccia” o sistema di connessione magnetica). Prodotti con spessori (uniforme o rastremata) e forme differenti (conica, cilindrica) sono da considerare modelli distinti.
Devono essere parte dell’offerta anche gli accessori necessari alla tipologia di attacco distale utilizzato, quali attacchi distali (pin) e sistemi di connessione magnetica.</t>
  </si>
  <si>
    <t>Cuffia con o senza rivestimento in tessuto, realizzata in silicone medicale senza anelli da utilizzare in associazione a sistemi di attacco distale (es: pin
-lock o “a fettuccia” o sistema di connessione magnetica). Prodotti con spessori (uniforme o rastremata) e forme differenti (conica, cilindrica) sono da considerare modelli distinti.
Devono essere parte dell’offerta anche gli accessori necessari alla tipologia di attacco distale utilizzato, quali pin e sistemi di connessione magnetica.</t>
  </si>
  <si>
    <t>Cuffia realizzata in elastomero termoplastico (TPE), copolimero, silicone medicale o poliuretano realizzato su misura in Central Fabrication (C
-FAB) a partire dal calco positivo (preferibilmente digitale) del moncone del paziente e con spessore definito dal tecnico ortopedico (preferibilmente differenziato per zona).</t>
  </si>
  <si>
    <t>Mano estetica con tutte le dita rigide o atteggiabili. La mano deve comprendere l'eventuale parte di collegamento con l'avambraccio laminato o con il modulo polso, e di tutte le parti di ricambio necessarie. 
Il dispositivo deve essere destinato alla realizzazione di protesi passive a finalità estetica, con struttura interna leggera e resistente, idonea a supportare il rivestimento cosmetico e a riprodurre la forma anatomica dell'arto superiore. Deve essere disponibile in differenti conformazioni e misure per adattarsi alle caratteristiche antropometriche dell'utilizzatore, garantendo adeguata robustezza, comfort e naturalezza dell'aspetto estetico.
- filettatura interna M12x1,5
- la mano interna dovrà essere in schiuma, leggera e stabile
- adatta per protesi passive e cosmetiche
- la mano deve essere in grado di definire la forma del guanto
- la mano dovrà essere fornita in almeno 40 modelli considerando complessivamente uomo, donna, bambino</t>
  </si>
  <si>
    <t>Mano di forma anatomica con meccanismo a molla che permette il movimento del pollice, azionato dall’arto controlaterale, e il suo ritorno alla posizione di presa in opposizione tipicamente tridigitale. La mano deve essere comprensiva del sottoguanto, se previsto, e deve essere prevista la versione con il filetto maschio M12x1,5. 
Il dispositivo deve essere destinato alla realizzazione di protesi passive funzionali dell'arto superiore, anche per attività ricreativa. La struttura garantire il mantenimento della configurazione di presa sugli oggetti di uso quotidiano e consentire una movimentazione semplice e intuitiva da parte dell'utilizzatore. 
- adatta a tutti i livelli di amputazione
- in grado di aprirsi con l'utilizzo dell'arto controlaterale e chiudersi in automatico mediante un sistema a molla.
- disponibile nelle versioni:  uomo, donna, bambino.</t>
  </si>
  <si>
    <t xml:space="preserve">Il polso è costituito da un adattatore filettato per il collegamento della mano o uncino, che, dall'altra estremità, deve essere combinato con un tubo con boccola di scorrimento, realizzando un giunto a un grado di libertà prossimale con grado di bloccaggio regolabile mediante serraggio delle boccole. L'adattatore deve essere offerto sia in versione maschio che femmina dell'adattatore
- filetto M12 x 1,5 </t>
  </si>
  <si>
    <t xml:space="preserve">Il polso è costituito da un adattatore filettato (femmina) che incorpora un grado di libertà per la flesso
-estensione. Il secondo grado di libertà (pronazione
-supinazione) è realizzato dalla connessione dell'adattatore con il relativo tubo con boccola di scorrimento. La frizione dei gradi di libertà è realizzata mediante serraggio
- filetto M12 x 1,5 </t>
  </si>
  <si>
    <t xml:space="preserve">Gomito con grado di flesso
-estensione atteggiabile passivamente dall’utente o con sistema di bloccaggio e sbloccaggio manuale comprensivo degli adattatori di collegamento ed eventuali dime e anelli di laminazione.
Il dispositivo dovrà consentire il posizionamento dell'avambraccio in diverse angolazioni funzionali mediante sistema di blocco manuale. Deve essere offerto sia almeno un gomito di tipo esoscheletrico che un gomito di tipo endoscheletrico. In quest'ultimo caso, il gomito deve essere offerto con le strutture tubolari prossimali e distali necessarie a costituire protesi endoscheletriche per amputazione transomerale e disarticolazioni di spalla. </t>
  </si>
  <si>
    <t>Tubi modulari per la realizzazione di protesi endoscheletriche di arto superiore.
- è obbligatorio fornire almeno i tubi di lunghezza di 120mm e 250 mm con diametro di 20 mm</t>
  </si>
  <si>
    <t>Blocchi modulari estetici in schiuma espansa, destinati alla realizzazione del rivestimento estetico della protesi di arto superiore, preformati o personalizzabili mediante lavorazione. I componenti dovranno consentire l'adattamento alla morfologia dell'utilizzatore e risultare compatibili con i sistemi modulari per arto superiore.
-circonferenza dell'avambraccio: non inferiore a 300 mm</t>
  </si>
  <si>
    <t>Mano la cui apertura/chiusura deve avvenire mediante bretellaggi e cavi messi in tensione attraverso il movimento dei segmenti prossimali all'amputazione (spalla, braccio o tronco).
La mano dovrà garantire una presa funzionale e sicura degli oggetti della vita quotidiana ed in particolare per l'alimentazione, con possibilità di mantenimento della posizione di presa mediante sistema di bloccaggio/molla integrato. Devono essere previsti meccanismi per variare la forza di trazione richiesta per operare la mano e per la modulazione della forza di presa. La fornitura deve comprendere tutti i componenti necessari al corretto collegamento con il sistema di comando a cavi e con la struttura protesica. I dispositivi con chiusura volontaria possono essere offerti ma deve essere offerto il dispositivo con apertura volontaria
- peso componente: non superiore a 450 g 
- possibile regolazione della forza di presa
- disponibile nelle versioni:  uomo, donna, bambino.</t>
  </si>
  <si>
    <t xml:space="preserve">Dispositivo terminale a forma di uncino o chela la cui apertura/chiusura deve avvenire mediante bretellaggi e cavi messi in tensione attraverso il movimento dei segmenti prossimali all'amputazione (spalla, braccio o tronco).
Il dispositivo dovrà consentire il mantenimento e la manipolazione sicura di oggetti di diversa forma e dimensione. La struttura dovrà essere realizzata con materiali ad elevata resistenza meccanica e all'usura, idonei all'impiego nelle attività quotidiane, lavorative e ricreative. Il sistema di presa deve garantire affidabilità, precisione e adeguata forza di serraggio, con superfici di contatto atte a migliorare l'aderenza anche su materiali lisci o scivolosi. I dispositivi con chiusura volontaria possono essere offerti ma deve essere offerto il dispositivo con apertura volontaria
- peso massimo: 450 g 
- il rivestimento deve garantire una presa molto salda, anche su materiali scivolosi, e permettere inoltre di 
favorire la vestizione e la svestizione. </t>
  </si>
  <si>
    <t xml:space="preserve">Dispositivo azionato con l’arto controlaterale che permette un solo grado di libertà, usato per la realizzazione di protesi cinematiche.  
Il dispositivo dovrà consentire la rotazione e il posizionamento funzionale del terminale protesico su un unico asse, garantendo il bloccaggio stabile della posizione selezionata e la compatibilità con sistemi modulari per arto superiore. Deve essere offerta anche una versione del polso con attacco su disconnettore rapido per protesi mioelettriche. Deve essere offerto anche un polso con sistema di arresto a sfera
- peso componente: non superiore a 150 g
- diametro esterno massimo: 50 mm 
- lunghezza complessiva 25 mm  </t>
  </si>
  <si>
    <t xml:space="preserve">Dispositivo azionato con l’arto controlaterale che permette due gradi di libertà, usato per la realizzazione di protesi cinematiche.  Il polso deve essere fornito con  relativo collegamento con la mano. Il polso deve potere essere bloccato in posizioni fisse o rimanere libero. Il polso deve potere essere impiegato anche per uncini a controllo cinematico
-peso massimo: 130 g  </t>
  </si>
  <si>
    <t>Aste laterali e mediali per realizzare un gomito con bloccaggio e sbloccaggio per disarticolazione di gomito. Deve essere previsto un meccanismo di flessione
-estensione e blocco
-sblocco ad azionamento cinematico. Il componente deve essere comprensivo degli adattatori di collegamento ed eventuali dime e anelli di laminazione. 
-sono richieste minimo 5 posizioni di bloccaggio dell'articolazione.</t>
  </si>
  <si>
    <t xml:space="preserve">Gomito a controllo cinematico con flesso
-estensione e bloccaggio dell’articolazione attivabile mediante cavi e bretellaggi, ed intra
-extra rotazione passiva. Il componente deve essere comprensivo degli adattatori di collegamento ed eventuali dime e anelli di laminazione.
Il dispositivo dovrà consentire il blocco e lo sblocco dell'articolazione mediante comando a cavo anche sotto carico, garantendo il posizionamento stabile dell'avambraccio nelle diverse attività funzionali.
- peso componente: non superiore a 700 g 
- devono essere offerte almeno 4 colorazioni di pelle disponibili nel caso di componentistica adulta, dove previsto. </t>
  </si>
  <si>
    <t>Protesi cinematiche per amputazione della falange distale. 
Il dispositivo dovrà sfruttare il movimento residuo dell'articolazione interfalangea prossimale integra (PIP), traducendolo in un movimento funzionale del segmento protesico e contribuendo al recupero delle capacità prensili e manipolative della mano. La protesi dovrà essere realizzata su misura in funzione delle caratteristiche anatomiche del paziente e del moncone residuo, garantendo adeguata vestibilità, comfort e protezione del segmento amputato mediante struttura dedicata di contenimento. Dovrà essere costruita con materiali leggeri, resistenti e idonei all'impiego continuativo, consentendo lo svolgimento delle attività quotidiane e la manipolazione di oggetti di uso comune. La struttura dovrà inoltre permettere una facile gestione, pulizia e manutenzione del dispositivo, assicurando robustezza meccanica, ridotto ingombro e compatibilità con l'utilizzo di ulteriori ausili o dispositivi indossabili. 
- eventuali parti meccaniche devono essere realizzate in titanio.
- deve essere possibile il controllo diretto di touchscreen</t>
  </si>
  <si>
    <t>Protesi cinematiche per amputazioni prossimali alla metacarpofalangea (MCP) 
- con un dito</t>
  </si>
  <si>
    <t>Protesi cinematica per amputazione di un dito lungo a livello della falange prossimale, azionata dal movimento dell'articolazione metacarpofalangea (MCP).
Il dispositivo dovrà sfruttare il movimento residuo dell'articolazione metacarpofalangea per generare una mobilizzazione funzionale del segmento protesico a livello dell'articolazione interfalangea prossimale e distale,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e delle richieste funzionali dell'utilizzatore, con componenti ad elevata resistenza meccanica idonei ad un utilizzo intensivo, e prevedere sistemi di adattamento e regolazione finalizzati ad assicurare comfort, corretto allineamento e compensazione delle variazioni volumetriche del segmento residuo.
- presenza di un'interfaccia in silicone nella piastra posteriore della protesi
- presenza di un sistema per compensare variazione di volume
- presenza di un sistema per la regolazione dell'allineamento
- struttura metallica ad alta resistenza
- deve essere possibile il controllo diretto di touchscreen</t>
  </si>
  <si>
    <t>Protesi cinematiche per amputazioni prossimali alla metacarpofalangea (MCP) 
- con due dita</t>
  </si>
  <si>
    <t>Protesi cinematica per amputazione di due dita lunghe a livello della falange prossimale, azionate dal movimento delle rispettive articolazioni metacarpofalangee (MCP).
Il dispositivo dovrà sfruttare il movimento residuo dell'articolazione metacarpofalangea per generare una mobilizzazione funzionale del segmento protesico a livello dell'articolazione interfalangea prossimale e distale,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e delle richieste funzionali dell'utilizzatore, con componenti ad elevata resistenza meccanica idonei ad un utilizzo intensivo, e prevedere sistemi di adattamento e regolazione finalizzati ad assicurare comfort, corretto allineamento e compensazione delle variazioni volumetriche del segmento residuo.
- presenza di un'interfaccia in silicone nella piastra posteriore della protesi
- presenza di un sistema per compensare variazione di volume
- presenza di un sistema per la regolazione dell'allineamento
- struttura metallica ad alta resistenza
- deve essere possibile il controllo diretto di touchscreen</t>
  </si>
  <si>
    <t>Protesi cinematiche per amputazioni prossimali alla metacarpofalangea (MCP) 
- con tre dita</t>
  </si>
  <si>
    <t xml:space="preserve">Protesi cinematica per amputazione di tre dita lunghe a livello della falange prossimale, azionate dal movimento delle rispettive articolazioni metacarpofalangee (MCP).
Il dispositivo dovrà sfruttare il movimento residuo dell'articolazione metacarpofalangea per generare una mobilizzazione funzionale del segmento protesico a livello dell'articolazione interfalangea prossimale e distale,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e delle richieste funzionali dell'utilizzatore, con componenti ad elevata resistenza meccanica idonei ad un utilizzo intensivo, e prevedere sistemi di adattamento e regolazione finalizzati ad assicurare comfort, corretto allineamento e compensazione delle variazioni volumetriche del segmento residuo.
- presenza di un'interfaccia in silicone nella piastra posteriore della protesi
- presenza di un sistema per compensare variazione di volume
- presenza di un sistema per la regolazione dell'allineamento
- struttura metallica ad alta resistenza
- deve essere possibile il controllo diretto di touchscreen
</t>
  </si>
  <si>
    <t>Protesi cinematiche per amputazioni prossimali alla metacarpofalangea (MCP) 
- con quattro dita</t>
  </si>
  <si>
    <t>Protesi cinematica per amputazione di quattro dita lunghe a livello della falange prossimale, azionate dal movimento delle rispettive articolazioni metacarpofalangee (MCP).
Il dispositivo dovrà sfruttare il movimento residuo dell'articolazione metacarpofalangea per generare una mobilizzazione funzionale del segmento protesico a livello dell'articolazione interfalangea prossimale e distale, consentendo il recupero delle principali prese funzionali della mano, incluse le prese di precisione, a pinza, a chiave e cilindrica. La struttura dovrà contribuire alla stabilizzazione della presa e al miglioramento della funzionalità dell'arto nelle attività quotidiane e lavorative. Il dispositivo dovrà essere realizzato su misura in base alle caratteristiche anatomiche e delle richieste funzionali dell'utilizzatore, con componenti ad elevata resistenza meccanica idonei ad un utilizzo intensivo, e prevedere sistemi di adattamento e regolazione finalizzati ad assicurare comfort, corretto allineamento e compensazione delle variazioni volumetriche del segmento residuo.
- presenza di un'interfaccia in silicone nella piastra posteriore della protesi
- presenza di un sistema per compensare variazione di volume
- presenza di un sistema per la regolazione dell'allineamento
- struttura metallica ad alta resistenza
- deve essere possibile il controllo diretto di touchscreen</t>
  </si>
  <si>
    <t>Protesi cinematiche per amputazioni parziale del pollice a livello della falange prossimale, azionate dal movimento dell'articolazione metacarpofalangea (MCP) e deve seguire i movimento dell'articolazione trapezio
-metacarpale.  
Il dispositivo dovrà sfruttare il movimento del pollice residuo per generare una mobilizzazione funzionale del segmento protesico, ivi compresa la flessione dell'articolazione interfalangea protesica, favorendo il recupero delle prese di precisione e di forza e delle funzioni di opposizione. Dovrà essere realizzato su misura in base alle caratteristiche anatomiche dell'utilizzatore, garantendo comfort, stabilità di sospensione e adeguata resistenza meccanica per le attività quotidiane.
- presenza di un'interfaccia in silicone nella piastra posteriore della protesi
- presenza di un sistema per compensare variazione di volume
- presenza di un sistema per la regolazione dell'allineamento
- la preflessione deve essere regolabile
- struttura metallica ad alta resistenza
- deve essere possibile il controllo diretto di touchscreen</t>
  </si>
  <si>
    <t>Protesi cinematiche per amputazioni parziale del pollice a livello della falange prossimale, azionate dal movimento dell'articolazione metacarpofalangea (MCP), in  associazione ad una protesi cinematica per un dito con amputazione a livello falangeo prossimale, azionata dal movimento dell'articolazione metacarpofalangea (MCP). 
Il dispositivo per le dita lunghe dovrà sfruttare il movimento residuo dell'articolazione metacarpofalangea per generare una mobilizzazione funzionale del segmento protesico a livello dell'articolazione interfalangea prossimale e distale.
Il dispositivo per il pollice dovrà sfruttare il movimento del pollice residuo per generare una mobilizzazione funzionale del segmento protesico, ivi compresa la flessione dell'articolazione interfalangea protesica
Nel complesso il sistema dovrà sfruttare i movimenti delle articolazioni metacarpofalangee residue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
- presenza di un'interfaccia in silicone nella piastra posteriore della protesi
- presenza di un sistema per compensare variazione di volume
- presenza di un sistema per la regolazione dell'allineamento
- per il pollice, la preflessione deve essere regolabile
- struttura metallica ad alta resistenza
- deve essere possibile il controllo diretto di touchscreen</t>
  </si>
  <si>
    <t>Protesi cinematiche per amputazioni parziale del pollice a livello della falange prossimale, azionate dal movimento dell'articolazione metacarpofalangea (MCP), in  associazione ad una protesi cinematica per due dita lunghe con amputazione a livello falangeo prossimale, azionata dal movimento dell'articolazione metacarpofalangea (MCP). 
Il dispositivo per le dita lunghe dovrà sfruttare il movimento residuo dell'articolazione metacarpofalangea per generare una mobilizzazione funzionale del segmento protesico a livello dell'articolazione interfalangea prossimale e distale.
Il dispositivo per il pollice dovrà sfruttare il movimento del pollice residuo per generare una mobilizzazione funzionale del segmento protesico, ivi compresa la flessione dell'articolazione interfalangea protesica
Nel complesso il sistema dovrà sfruttare i movimenti delle articolazioni residui metacarpofalangee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
- presenza di un'interfaccia in silicone nella piastra posteriore della protesi
- presenza di un sistema per compensare variazione di volume
- presenza di un sistema per la regolazione dell'allineamento
- per il pollice, la preflessione deve essere regolabile
- struttura metallica ad alta resistenza
- deve essere possibile il controllo diretto di touchscreen</t>
  </si>
  <si>
    <t>Protesi cinematiche per amputazioni parziale del pollice a livello della falange prossimale, azionate dal movimento dell'articolazione metacarpofalangea (MCP), in  associazione ad una protesi cinematica per tre dita lunghe con amputazione a livello falangeo prossimale, azionata dal movimento dell'articolazione metacarpofalangea (MCP). 
Il dispositivo per le dita lunghe dovrà sfruttare il movimento residuo dell'articolazione metacarpofalangea per generare una mobilizzazione funzionale del segmento protesico a livello dell'articolazione interfalangea prossimale e distale.
Il dispositivo per il pollice dovrà sfruttare il movimento del pollice residuo per generare una mobilizzazione funzionale del segmento protesico, ivi compresa la flessione dell'articolazione interfalangea protesica
Nel complesso il sistema dovrà sfruttare i movimenti  delle articolazioni residue metacarpofalangee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
- presenza di un'interfaccia in silicone nella piastra posteriore della protesi
- presenza di un sistema per compensare variazione di volume
- presenza di un sistema per la regolazione dell'allineamento
- per il pollice, la preflessione deve essere regolabile
- struttura metallica ad alta resistenza
- deve essere possibile il controllo diretto di touchscreen</t>
  </si>
  <si>
    <t>Protesi cinematiche per amputazioni parziale del pollice a livello della falange prossimale, azionate dal movimento dell'articolazione metacarpofalangea (MCP), in  associazione ad una protesi cinematica per quattro dita lunghe con amputazione a livello falangeo prossimale, azionata dal movimento dell'articolazione metacarpofalangea (MCP).
Il dispositivo per le dita lunghe dovrà sfruttare il movimento residuo dell'articolazione metacarpofalangea per generare una mobilizzazione funzionale del segmento protesico a livello dell'articolazione interfalangea prossimale e distale.
Il dispositivo per il pollice dovrà sfruttare il movimento del pollice residuo per generare una mobilizzazione funzionale del segmento protesico, ivi compresa la flessione dell'articolazione interfalangea protesica
Nel complesso il sistema dovrà sfruttare i movimenti  delle articolazioni residue metacarpofalangee per generare una mobilizzazione funzionale dei segmenti protesici, favorendo il recupero delle prese di precisione, a pinza e di forza. I dispositivi dovranno essere realizzati su misura in base alle caratteristiche anatomiche dell'utilizzatore, garantendo stabilità di sospensione, comfort, adeguato allineamento e resistenza meccanica per le attività quotidiane.
- presenza di un'interfaccia in silicone nella piastra posteriore della protesi
- presenza di un sistema per compensare variazione di volume
- presenza di un sistema per la regolazione dell'allineamento
- per il pollice, la preflessione deve essere regolabile
- struttura metallica ad alta resistenza
- deve essere possibile il controllo diretto di touchscreen</t>
  </si>
  <si>
    <t xml:space="preserve">Mano elettromeccanica con presa tridigitale comandata mediante segnale mioelettrico e alimentata in corrente continua. Rientrano in questa categoria anche i sistemi trans
-carpali. È considerata parte del dispositivo proposto anche la relativa unità di controllo ed i cavi di collegamento, se non integrati nel dispositivo. Sono esclusi i sistemi di controllo avanzati basati su pattern recognition e machine learning.
La mano deve essere fornita del proprio sottoguanto, se previsto. Inoltre deve essere previsto nel costo della mano anche l'anello di laminazione eventuale, la spina coassiale e i sistemi di accoppiamento.  
Deve essere incluso nella quotazione il cavo più lungo fra quelli disponibili. Devono essere offerti, ma non faranno parte del kit di base d'asta, tutte le parti di ricambio per le riparazioni in loco ammesse dal fornitore a seguito di corso di certificazione. Devono essere offerti anche eventuali sistemi di programmazione della mano, che non faranno comunque part del kit di base d'asta. Fra i modelli offerti deve essere presente una mano mioelettrica per uso pediatrico, a partire da un'età di almeno 2 anni
- peso massimo del componente: 460 g adulto e  150 g bimbo
- tensione di lavoro: adulto range 6/7,2 V  per bimbo range 4,8/7,4 V.
- ampiezza di apertura: minimo per adulto 75 mm e per bimbo 25 mm
- forza di presa: per adulti almeno 90 N e per bimbo almeno 8N
- massima velocità di apertura: mano adulto non inferiore a 250 mm/s </t>
  </si>
  <si>
    <t>Dispositivo terminale a forma di uncino o pinza (greifer) comandato mediante segnale mioelettrico e alimentato in corrente continua. È considerato parte del dispositivo proposto anche la relativa unità di controllo e i relativi cavi di collegamento all'unità di controllo e batteria. Deve essere considerato incluso nella quotazione il cavo più lungo fra quelli disponibili. Devono essere fornite tutte le parti di ricambio per le riparazioni in loco ammesse dal fornitore. 
- tensione di lavoro: adulto range 6/7,2 V 
- ampiezza di apertura: minimo per adulto 90 mm 
- forza di presa: per adulti almeno 110 N
- peso non superiore a 550g</t>
  </si>
  <si>
    <t xml:space="preserve">Dispositivo azionato con l’arto controlaterale che permette un solo grado di libertà, usato per la realizzazione di protesi mioelettriche.  Deve essere offerto almeno un polso per mano mioelettrica senza disconnessione rapida ed almeno uno per mano miolettrica con sistema di disconnessione rapida. Il polso deve essere fornito con  il relativo accessorio di collegamento con la mano oltre che il relativo anello di laminazione. 
Il polso per mano senza disconnessione rapida deve possedere un meccanismo di frizione regolabile che garantisca il mantenimento della posizione selezionata 
- peso componente: non superiore a 100 g 
 </t>
  </si>
  <si>
    <t xml:space="preserve">Dispositivo azionato con l’arto controlaterale che permette due gradi di libertà, usato per la realizzazione di protesi mioelettriche.  
Il dispositivo dovrà consentire il posizionamento funzionale della mano mediante movimenti di flessione ed estensione del polso, oltre che alla rotazione,  con possibilità di utilizzo in modalità libera o bloccata in differenti posizioni. Deve essere offerta una versione per mani transcarpali ed una versione per mani mioelettriche con giunto filettato.
- peso componente: non superiore a 120 g
- altezza: 65 mm </t>
  </si>
  <si>
    <t>Dispositivo elettromeccanico a un solo grado di libertà alimentato in corrente continua e comandato mediante segnale elettromiografico, usato per la realizzazione di protesi mioelettriche. È considerato parte del dispositivo proposto anche la relativa unità di controllo e i relativi cavi di collegamento.
- peso componente: non superiore a 145 g  
- tensione di alimentazione: 6/7.4V
- velocità di rotazione: non inferiore a 80°/s
- rotazione completa 360°</t>
  </si>
  <si>
    <t>Gomito a controllo mioelettrico per blocco e sblocco e intra
-extra rotazione omerale passiva</t>
  </si>
  <si>
    <t xml:space="preserve">Gomito il cui blocco e sblocco del movimento di flesso
-estensione viene controllato da segnali elettromiografici e la cui intra
-extra rotazione omerale viene controllata passivamente. Il componente deve essere comprensivo degli adattatori di collegamento ed eventuali dime e anelli di laminazione.
- peso componente: non superiore a 720 g 
- devono essere offerte almeno 4 colorazioni di pelle disponibili nel caso di componentistica adulta, dove previsto. </t>
  </si>
  <si>
    <t>Gomito a controllo mioelettrico con flesso
-estensione attive e intra
-extra rotazione omerale passiva</t>
  </si>
  <si>
    <t>Gomito la cui flesso
-estensione viene controllata mediante segnale elettromiografico e la cui intra
-extra rotazione omerale viene controllata passivamente. Il componente deve essere comprensivo degli adattatori di collegamento ed eventuali dime e anelli di laminazione.
La flesso
-estensione sono controllate da un motore elettrico ma deve essere possibile il movimento libero dell'articolazione quando estesa per adattarsi all'oscillazione nel cammino. Dovrà inoltre prevedere intra
-extra rotazione omerale passiva con frizione regolabile. Il controllo del gomito deve essere di tipo proporzionale. I parametri di funzionamento devono essere settati mediante app dedicata. 
- devono essere offerte almeno 4 colorazioni di pelle disponibili nel caso di componentistica adulta, dove previsto. 
- forza di sollevamento non inferiore a 40N</t>
  </si>
  <si>
    <t xml:space="preserve">Articolazione di spalla atteggiabile passivamente oppure con possibilità di oscillazione mediante il movimento del tronco per la realizzazione di protesi per amputazione a livello dell'omero prossimale o superiore. Il componente deve essere comprensivo degli adattatori di collegamento ed eventuali dime e anelli di laminazione.
Il dispositivo deve consentire l'orientamento funzionale dell'arto protesico mediante movimenti passivi e/o oscillazione controllata
- peso componente: non superiore a 250 g  </t>
  </si>
  <si>
    <t>Elettrodi pre
-amplificati per protesi mioelettriche</t>
  </si>
  <si>
    <t>Elettrodi dotati di elettronica di amplificazione e condizionamento del segnale mioelettrico a bordo, progettati per il collegamento e controllo di protesi di arto superiore di tipo mioelettrico. Gli elettrodi devono avere placche in titanio, devono presentare un potenziometro per la regolazione del guadagno e devono essere certificati IP67.
Potranno essere offerti come accessori anche eventuali sistemi per il biofeedback sensoriale mediante micro
-vibratori ma non costituiranno base d'asta. Devono essere forniti cavi in almeno 3 lunghezze di cui una da 600mm. Eventuale accessori per sospensione a suzione devono essere offerti come accessori e non costituiscono il kit il kit di base d'asta. 
- tensione di lavoro: 4.8
-7.2 V
- filtraggio disturbi di tensione: 50
-60 Hz 
- banda di frequenza: 90
-450 Hz</t>
  </si>
  <si>
    <t>Elettrodi con parte di condizionamento e di raccolta del segnale  disgiunti (elettrodi a cupola 
- dome o a bottone 
- snap). 
Il sistema dovrà consentire l'acquisizione e il condizionamento dei segnali mioelettrici mediante elettrodi remoti separati dall'elettronica di elaborazione, garantendo affidabilità nella rilevazione dell'attività muscolare.  La fornitura dovrà comprendere gli elementi necessari all'interfacciamento con l'invasatura (dome) e l'elettronica remota di condizionamento, nelle configurazioni idonee all'adattamento anatomico dell'utilizzatore.</t>
  </si>
  <si>
    <t>Batteria al litio per alimentazione di protesi a controllo mioelettrico con interruttore di accensione remoto o integrato, caricabatterie e cavi di collegamento, anche per l’utilizzo in auto. 
Le batterie possono essere di tipo estraibile o integrato nella protesi. Nel caso delle batterie non estraibili, deve essere previsto un indicatore di carica. In caso di batteria estraibile, deve essere fornito anche il recettore per integrazione nella protesi e il kit base deve essere costituito da due batterie. 
- La ricarica del sistema deve avvenire entro le 4 h 
- Voltaggio nominale circa 7.4V
- Capacità non inferiore a 680 mAh</t>
  </si>
  <si>
    <t>Dispositivo terminale da utilizzare per la realizzazione di protesi passive di arto superiore, in alternativa a dispositivi terminali con forma anatomica di mano,  specifico per l’utilizzo di utensili per la vita quotidiana, o specifico per lo sport o per attività lavorativa. 
- devono prevedere attacco filettato M12x1,5 anche eventualmente mediante un adattatore di passo</t>
  </si>
  <si>
    <t xml:space="preserve">Gomiti di tipo passivo con meccanismi di ritorno elastico adatto per attività sportive.  Il componente deve essere comprensivo degli adattatori di collegamento ed eventuali dime e anelli di laminazione.
Il dispositivo deve essere adatto per applicazioni sportive e attività ad elevata sollecitazione dinamica, consentendo movimenti controllati di flesso
-estensione mediante sistemi elastici in grado di assorbire urti e vibrazioni. 
- peso componente: non superiore a 550 g  </t>
  </si>
  <si>
    <t>Sistema di controllo avanzato mediante pattern recognition in associazione ai relativi cablaggi ed elettrodi remoti (con o senza massa) da integrare nell'invasatura per la rilevazione del segnale mioelettrico. 
Il sistema dovrà acquisire e interpretare i segnali mioelettrici mediante algoritmi di riconoscimento dei pattern, consentendo l'associazione del segnale mioelettrico generato dai muscolari residui alle diverse funzioni della protesi. Il sistema deve essere corredato di software di diagnostica dei segnali del paziente e programmazione. Deve essere prevista la possibilità di riaddestramento del sistema da parte dell'utente mediante app. Deve essere presentata evidenza di studi clinici a supporto dell'efficacia del sistema in associazione ad almeno una mano poliarticolata. E' premiante la possibilità di utilizzo del sistema con più dispositivi e la disponibilità di un sistema di training pre
-pretesco.</t>
  </si>
  <si>
    <t>Articolazione di caviglia 
- Libera o libera con limitatore della massima escursione</t>
  </si>
  <si>
    <t xml:space="preserve">Articolazione di ginocchio per ortesi di arto inferiore progettata per consentire la flesso
-estensione dell'articolazione senza meccanismo di blocco. Il dispositivo può prevedere una posteriorizzazione del centro articolare per favorire la stabilità durante la statica e l'appoggio. Possono essere presenti molle per facilitare la flessione del ginocchio </t>
  </si>
  <si>
    <t xml:space="preserve">Articolazioni di ginocchio di tipo monocentrico o policentrico impiegati nella realizzazione di cosciali per protesi transtibiali. Il dispositivo è costituito da montanti articolati metallici, con sistema di rotazione mediante perni, boccolo o cuscinetti a basso attrito. L'articolazione consente la libera flesso
-estensione del ginocchio senza meccanismi di blocco o controllo della fase del passo.
- spessore massimo dell'articolazione: non superiore a 3mm
</t>
  </si>
  <si>
    <t xml:space="preserve">Articolazione di anca per ortesi di arto inferiore, con movimento libero, costituito da elementi articolati con sistema di rotazione su cuscinetti o boccole a basso attrito.
- disponibili in almeno due taglie per adulto </t>
  </si>
  <si>
    <t>Articolazione di anca 
- con blocco</t>
  </si>
  <si>
    <t>Articolazione d'anca per ortesi di arto inferiore. Il dispositivo può prevedere un meccanismo di sblocco manuale. La categoria comprende modelli di diverse dimensioni, comprese le taglie pediatriche. 
- disponibili in almeno due taglie per adulto e una taglia pediatrica</t>
  </si>
  <si>
    <t xml:space="preserve">Articolazione di anca 
- con blocco e regolazione dell'abduzione </t>
  </si>
  <si>
    <t>Articolazione di anca con blocco meccanico e possibilità di regolazione dell'abduzione e adduzione da parte del tecnico ortopedico. La categoria comprende modelli di diverse dimensioni, comprese le taglie pediatriche. 
- spessore: non superiore a 5mm</t>
  </si>
  <si>
    <t>Articolazione d'anca per ortesi reciprocante (RGO) destinata alla realizzazione di ortesi tronco
-bacino
-arto inferiore. 
Il sistema è costituito da articolazioni meccaniche di anca collegate mediante opportuno meccanismo reciprocante che consente la trasmissione del movimento tra i due arti inferiori, favorendo l'avanzamento alternato degli arti durante il cammino.
Il sistema può prevedere articolazioni a movimento libero, con limitatori di movimento e/o con dispositivi di blocco e sblocco manuale o automatico.
- rotazione massima consentita del bacino non inferiore a 15°
- regolazione massima consentita della flessione non inferiore a 10°
- offset barre femorali: 0mm; 5mm; 10mm</t>
  </si>
  <si>
    <t xml:space="preserve">Sistema di aste articolari modulari per ortesi di arto inferiore realizzate in acciaio inossidabile e lega leggera, destinato alla realizzazione di ortesi caviglia
-piede (AFO), ginocchio
-caviglia
-piede (KAFO) e anca
-ginocchio
-caviglia
-piede (HKAFO).
Le aste devono essere compatibili con sistemi articolari modulari di caviglia e/o ginocchio.
- Materiale: acciaio e alluminio
- Spessore barre: non superiore 5 mm    </t>
  </si>
  <si>
    <t xml:space="preserve">Sistema di aste articolari modulari per ortesi di arto inferiore realizzate in titanio o carbonio, destinato alla realizzazione di ortesi caviglia
-piede (AFO), ginocchio
-caviglia
-piede (KAFO) e anca
-ginocchio
-caviglia
-piede (HKAFO).
Le aste devono essere compatibili con sistemi articolari modulari di caviglia e/o ginocchio.
- Materiale: titanio
- Spessore barre  4mm   </t>
  </si>
  <si>
    <t>Fasce metalliche di contenimento per coscia o polpaccio destinata a ortesi di arto inferiore. Realizzata in materiale metallico preformate per l'adattamento anatomico all'arto e predisposte per il fissaggio all'articolazione del dispositivo. La categoria comprende cerchielli di diversa lunghezza, utilizzati per il contenimento e la stabilizzazione dell'arto all'interno dell'ortesi. 
- Materiale metallico: alluminio; acciaio inossidabile o titanio
- Spessore: non superiore a 3mm
- Lunghezze richieste:
- 185mm;
- 200mm;
- 230mm;
- 250mm;
- 275mm;
- 300mm</t>
  </si>
  <si>
    <t>Articolazione di ginocchio per ortesi di arto inferiore progettata per consentire la flesso
-estensione dell'articolazione senza meccanismo di blocco. Il dispositvo può prevedere una posteriorizzazione del centro articolare per favorire la stabilità durante la statica e l'appoggio.</t>
  </si>
  <si>
    <t>Articolazioni di ginocchio di tipo monocentrico o policentrico impiegati nella realizzazione di cosciali per protesi transtibiali. Il dispositivo è costituito da montanti articolati metallici, con sistema di rotazione mediante perni, boccolo o cuscinetti a basso attrito. L'articolazione consente la libera flesso
-estensione del ginocchio senza meccanismi di blocco o controllo della fase del passo.</t>
  </si>
  <si>
    <t xml:space="preserve">Articolazione d'anca per ortesi reciprocante (RGO) destinata alla realizzazione di ortesi tronco
-bacino
-arto inferiore. 
Il sistema è costituito da articolazioni meccaniche di anca collegate mediante opportuno meccanismo reciprocante che consente la trasmissione del movimento tra i due arti inferiori, favorendo l'avanzamento alternato degli arti durante il cammino.
Il sistema può prevedere articolazioni a movimento libero, con limitatori di movimento e/o con dispositivi di blocco e sblocco manuale o automatico.
</t>
  </si>
  <si>
    <t xml:space="preserve">Sistema di aste articolari modulari per ortesi di arto inferiore realizzate in acciaio inossidabile e lega leggera, destinato alla realizzazione di ortesi caviglia
-piede (AFO), ginocchio
-caviglia
-piede (KAFO) e anca
-ginocchio
-caviglia
-piede (HKAFO).
Le aste devono essere compatibili con sistemi articolari modulari di caviglia e/o ginocchio.
 La categoria comprende modelli di diverse dimensioni, comprese le taglie pediatriche. </t>
  </si>
  <si>
    <t>- lunghezza delle barre 16mm e 20mm   
- spessore barre  4mm e 5 mm    Materiale:acciaio e alluminio</t>
  </si>
  <si>
    <t xml:space="preserve">Sistema di aste articolari modulari per ortesi di arto inferiore realizzate in titianio o carbonio, destinato alla realizzazione di ortesi caviglia
-piede (AFO), ginocchio
-caviglia
-piede (KAFO) e anca
-ginocchio
-caviglia
-piede (HKAFO).
Le aste devono essere compatibili con sistemi articolari modulari di caviglia e/o ginocchio.
 La categoria comprende modelli di diverse dimensioni, comprese le taglie pediatriche. </t>
  </si>
  <si>
    <t>- lunghezza delle barre 16mm e 20mm   
- spessore barre  4mm    Materiale:titanio</t>
  </si>
  <si>
    <t>Cuffia con o senza rivestimento in tessuto, realizzata in elastomero termopolastico (TPE), stirene o copolimero senza anelli da utilizzare in associazione a sistemi di attacco distale (es: pin
-lock o “a fettuccia” o sistema di connessione magnetica). Prodotti con spessori (uniforme o rastremata) e forme differenti (conica, cilindrica) sono da considerare modelli distinti.
Devono essere parte dell’offerta anche gli accessori necessari alla tipologia di attacco distale utilizzato, quali attacchi distali (pin) e sistemi di connessione magnetica.</t>
  </si>
  <si>
    <t>Cuffia con o senza rivestimento in tessuto, realizzata in silicone medicale senza anelli da utilizzare in associazione a sistemi di attacco distale (es: pin
-lock o “a fettuccia” o sistema di connessione magnetica). Prodotti con spessori (uniforme o rastremata) e forme differenti (conica, cilindrica) sono da considerare modelli distinti.
Devono essere parte dell’offerta anche gli accessori necessari alla tipologia di attacco distale utilizzato, quali pin e sistemi di connessione maganetica.</t>
  </si>
  <si>
    <t>Cuffia realizzata in elastomero termopolastico (TPE), copolimero, silicone medicale o poliuretano realizzato su misura in Central Fabrication (C
-FAB) a partire dal calco positivo del moncone del paziente e con spessore definito dal tecnico ortopedico.</t>
  </si>
  <si>
    <t xml:space="preserve"> 
- peso massimo utente: non inferiore a 100kg
- diametri ammessi: 30mm e 34mm</t>
  </si>
  <si>
    <t xml:space="preserve"> 
- range di inclinazione compreso tra 10° e 30°</t>
  </si>
  <si>
    <t xml:space="preserve"> 
- peso massimo utente: non inferiore a 125kg
- range di ampiezza massima di regolazione (o range di traslazione): non inferiore a 20mm</t>
  </si>
  <si>
    <t xml:space="preserve"> 
- peso massimo utente: non inferiore a 100kg</t>
  </si>
  <si>
    <t xml:space="preserve"> 
- peso massimo utente: non inferiore a 100kg
- diametri ammessi del tubo: 30mm e 34mm
- adattatore a morsetto</t>
  </si>
  <si>
    <t xml:space="preserve"> 
- peso massimo utente: non inferiore a 125kg</t>
  </si>
  <si>
    <t xml:space="preserve"> 
- peso massimo utente: non inferiore a 150kg</t>
  </si>
  <si>
    <t xml:space="preserve"> 
- peso massimo utente: almeno 45kg</t>
  </si>
  <si>
    <t>Articolazione anca monocentrica e relativo kit con molla di estensione  
- Titanio e alluminio</t>
  </si>
  <si>
    <t>- peso massimo per componente: non superiore a 650 g
- range di movimento minimo: non inferiore a 135 °
- peso massimo del paziente: non inferiore a 100 kg e se pediatrica a 45 kg 
- adatto per pazienti con livello di mobilità K2
- K3
- diametro del tubo distale 30 mm e se pediatrico 22 mm</t>
  </si>
  <si>
    <t>Articolazione anca monocentrica con meccanismo di controllo dei movimenti di flesso
-estensione di tipo idraulico. L'articolazione deve presentare un sistema di controllo idraulico che ha la funzione di regolare la velocità di flessione ed estensione dell'articolazione durante la fase di appoggio e di oscillazione consentendo una deambulazione più fisiologica rispetto all'anca senza controllo idraulico. L'articolazione dovrà essere indicata per persone con amputazione con disarticolazione dell'anca o emipelvectomia.</t>
  </si>
  <si>
    <t>- peso massimo per componente: non superiore a 700 g
- range di movimento minimo: non inferiore a 125 °
- peso massimo del paziente: non inferiore a 125 kg
- adatto per pazienti con livello di mobilità K2
- K3</t>
  </si>
  <si>
    <t xml:space="preserve">Articolazione anca policentrica 
- Alluminio 
- Possibile infungibilità </t>
  </si>
  <si>
    <t>- movimento multiplanare dell'articolazione durante la flessione ed estensione
- peso massimo per componente: non superiore a 1 kg
- range di movimento minimo: non inferiore a 125 °
- peso massimo del paziente: non inferiore a 100 kg
- adatto per pazienti con livello di mobilità K2
- K3</t>
  </si>
  <si>
    <t xml:space="preserve">-peso massimo: 390 g 
- Il rivestimento deve garantire una presa molto salda, anche su materiali scivolosi, e permettere inoltre di 
favorire la vestizione e la svestizione.
-ampiezza apertura grip medio
-alta </t>
  </si>
  <si>
    <t>Mano elettromeccanica comandata mediante segnale mioelettrico e alimentata in corrente continua. Rientrano in questa categoria anche i sistemi trans
-carpali. È considerata parte del dispositivo proposto anche la relativa unità di controllo ed i cavi di collegamento, se non integrati nel dispositivo. Sono esclusi i sistemi di controllo avanzati basati su pattern recognition e machine learning.
La mano deve essere fornita del proprio sottoguanto, se previsto. Inoltre deve essere previsto nel costo della mano anche l'anello di laminazione eventuale, la spina coassiale e i sistemi di accoppiamento.  
Deve essere incluso nella quotazione il cavo più lungo fra quelli disponibili. Devono essere fornite tutte le parti di ricambio per le riparazioni in loco ammesse dal fornitore.  Eventuali polsi modulari che possano essere scelti per la mano non fanno parte del lotto. Come accessori devono essere compresi anche eventuali sistemi di programmazione della mano.</t>
  </si>
  <si>
    <t>L'adattatore nella versione modulare, se combinato con il relativo tubo con boccola di scorrimento, costituisce un'unità di polso ad un grado di libertà (prono
-supinazione)</t>
  </si>
  <si>
    <t>Dispositivo azionato con l’arto controlaterale che permette un solo grado di libertà, usato per la realizzazione di protesi mioelettriche.  Sono compresi i polsi per i meccanismi di disconnessione rapida. Il polso deve essere fornito con  il relativo accessorio di collegamento con la mano oltre che il relativo anello di laminazione. 
Il dispositivo dovrà consentire la rotazione funzionale del terminale mioelettrico mediante prono
-supinazione passiva, garantendo il mantenimento della posizione selezionata, la riduzione dei movimenti compensatori e la compatibilità con sistemi modulari e dispositivi a connessione rapida.</t>
  </si>
  <si>
    <t>L'adattatore nella versione modulare, se combinato con il relativo tubo con boccola di scorrimento, costituisce un'unità di polso con due gradi di libertà (oltre alla flesso
-estensione, anche la prono
-supinazione)</t>
  </si>
  <si>
    <t>Gomito con grado di flesso
-estensione atteggiabile passivamente dall’utente o con sistema di bloccaggio e sbloccaggio manuale comprensivo degli adattatori di collegamento ed eventuali dime e anelli di laminazione.
Il dispositivo dovrà consentire il posizionamento dell'avambraccio in diverse angolazioni funzionali mediante sistema di blocco manuale. Dovrà inoltre risultare compatibile con componenti protesici modulari e terminali funzionali, comprendendo tutti gli elementi necessari al collegamento e all'integrazione nel sistema protesico.</t>
  </si>
  <si>
    <t>Gomito a controllo cinematico con flesso
-estensione e bloccaggio dell’articolazione attivabile mediante cavi e bretellaggi, ed intra
-extra rotazione passiva. Il componente deve essere comprensivo degli adattatori di collegamento ed eventuali dime e anelli di laminazione.
Il dispositivo dovrà consentire il blocco e lo sblocco dell'articolazione mediante comando a cavo anche sotto carico, garantendo il posizionamento stabile dell'avambraccio nelle diverse attività funzionali.</t>
  </si>
  <si>
    <t>Gomito il cui blocco e sblocco del movimento di flesso
-estensione viene controllato da segnali elettromiografici e la cui intra
-extra rotazione omerale viene controllata passivamente. Il componente deve essere comprensivo degli adattatori di collegamento ed eventuali dime e anelli di laminazione.</t>
  </si>
  <si>
    <t>Gomito a controllo mioelettrico con flesso
-estensione attive e intra
-extra
-rotazione omerale passiva</t>
  </si>
  <si>
    <t>Gomito la cui flesso
-estensione viene azionata mediante segnale elettromiografico e la cui intra
-extra rotazione omerale viene controllata passivamente. Il componente deve essere comprensivo degli adattatori di collegamento ed eventuali dime e anelli di laminazione.
Dove garantire assistenza elettronica alla flessione dell'avambraccio e movimento libero e controllato durante le attività quotidiane. Dovrà inoltre prevedere intra
-extra rotazione omerale passiva con attrito regolabile ed essere compatibile con sistemi avanzati di controllo mioelettrico.</t>
  </si>
  <si>
    <t>Gomiti di tipo passivo con meccanismi di ritorno elastico adatto per attività sportive.  Il componente deve essere comprensivo degli adattatori di collegamento ed eventuali dime e anelli di laminazione.
Il dispositivo deve essere adatto per applicazioni sportive e attività ad elevata sollecitazione dinamica, consentendo movimenti controllati di flesso
-estensione mediante sistemi elastici in grado di assorbire urti e vibrazioni. Dovrà prevedere la possibilità di posizionamento e bloccaggio dell'articolazione in differenti angolazioni funzionali.</t>
  </si>
  <si>
    <t xml:space="preserve">Elettrodi non alimentati, collegati ad un sistema di controllo per protesi mioelettriche. L’offerta deve includere l’intero kit di controllo, completa di elettrodi e i cavi elettrici. Costituirà il modello oggetto di base economica l'elettrodo compresivo del cavo di lunghezza pari a 1m per la connessione fra l'unità di controllo/mano ed l'elettrodo. Tutte le altre lunghezze devono essere offerte come accessori. Gli elettrodi devono possedere il tipo di protezione IP67.
Potranno essere offerti come accessori anche eventuali sistemi per il biofeedback sensoriale mediante micro
-vibratori. </t>
  </si>
  <si>
    <t>- tensione di lavoro: 4.8
-7.2 V
-frequenza principale: 50
-60 Hz 
- banda di frequenza: 90
-450 Hz</t>
  </si>
  <si>
    <t>- peso massimo del paziente: non inferiore a 100 kg
-Peso componente: non superiore a 750 g
-angolo flessione: non inferiore a 110°
- Grado mobilità: K1
-K2</t>
  </si>
  <si>
    <t>- peso massimo del paziente: non inferiore a 100 kg
-Peso componente: non superiore a 680 g 
-angolo flessione: non inferiore a 145° 
- Grado mobilità: K1
- K2</t>
  </si>
  <si>
    <t>- peso massimo del paziente: non inferiore a 125 kg 
-Peso componente: non superiore a 680 g 
-angolo flessione: non inferiore a 145°
- Grado mobilità: K1
- K2</t>
  </si>
  <si>
    <t>-Peso massimo del paziente: non inferiore a 100 kg
-Peso componente: non superiore a 1260 g
-angolo flessione: non inferiore a 140°
- Grado mobilità: K3
-K4</t>
  </si>
  <si>
    <t>-Peso massimo del paziente: almeno 75 kg
-Peso componente: non superiore a 1200 g
-angolo flessione: non inferiore a 100°
- Grado mobilità: K1
-K4</t>
  </si>
  <si>
    <t>-Peso massimo del paziente: non inferiore a 150 kg
-Peso componente: non superiore a 915 g
-angolo flessione: non inferiore a 120°
- Grado mobilità: K1
-K2</t>
  </si>
  <si>
    <t>Ginocchio passivo a controllo elettronico con modalità di funzionamento di default a bassa resistenza per pazienti di livello da K2
-K4</t>
  </si>
  <si>
    <t>Ginocchi protesici controllati da microprocessore e sensori integrati, destinati a utenti con livello di mobilità K2
-K4, in grado di adattare dinamicamente il comportamento del dispositivo alle diverse condizioni di deambulazione. Il sistema deve garantire controllo automatico delle fasi di appoggio e oscillazione in tempo reale, elevata stabilità durante il cammino a velocità variabile e su differenti tipologie di superficie, nonché funzione di recupero automatico in caso di inciampo. Devono essere disponibili sistemi di regolazione e personalizzazione tramite software dedicato, funzione di blocco dell'estensione e protezione contro l'esposizione agli agenti atmosferici e agli spruzzi d'acqua per l'utilizzo nelle normali attività quotidiane.</t>
  </si>
  <si>
    <t>Ginocchi controllati da microprocessore e sensori integrati, progettati per utenti con livello di mobilità K2
-K4, dotati di sistemi di adattamento dinamico alle diverse condizioni di deambulazione. Il dispositivo deve garantire il controllo automatico delle fasi di appoggio e oscillazione, stabilità durante la stazione eretta e la deambulazione, supporto nella discesa di rampe e scale e adattamento alle variazioni di velocità del passo. Devono essere presenti funzioni di personalizzazione tramite software o applicazione dedicata, sistemi di blocco dell'articolazione in posizioni predefinite. Il dispositivo deve mantenere piena operatività in acqua dolce, salata e clorata, nonché in ambienti caratterizzati da sabbia e umidità, con grado di protezione almeno IP68 e possibilità di immersione fino ad almeno 2 metri di profondità.</t>
  </si>
  <si>
    <t>Ginocchi controllati da microprocessore e sensori integrati, progettati per utenti con livello di mobilità K2
-K4, in grado di adattare in tempo reale il comportamento del dispositivo alle diverse condizioni di deambulazione. Il sistema deve garantire il controllo continuo delle fasi di appoggio e oscillazione, elevata stabilità durante il cammino su superfici regolari e irregolari, gestione sicura di rampe, pendenze e ostacoli e funzioni di recupero automatico in caso di inciampo. Devono essere disponibili modalità personalizzabili per differenti attività quotidiane, sistemi di configurazione e monitoraggio tramite software dedicato o applicazione mobile e strumenti per la raccolta e l’analisi dei dati di utilizzo. Il dispositivo deve consentire una deambulazione fluida a velocità variabile, garantire elevati livelli di sicurezza e comfort e possedere un grado di protezione contro acqua e polvere non inferiore a IP67.</t>
  </si>
  <si>
    <t>-Peso massimo del paziente: non inferiore a 135 kg
-Peso componente: non superiore a 1400 g
-angolo flessione: non inferiore a 125°
- Grado mobilità: k2
-k3
-k4</t>
  </si>
  <si>
    <t>Ginocchi controllati da microprocessore e sensori integrati, progettati per utenti con livello di mobilità K2
-K4, in grado di adattare in tempo reale il comportamento del dispositivo alle diverse condizioni di deambulazione. Il sistema deve garantire il controllo continuo delle fasi di appoggio e oscillazione, elevata stabilità durante il cammino su superfici regolari e irregolari, recupero automatico in caso di inciampo e supporto nella gestione di rampe, pendenze, ostacoli e scale. Devono consentire una deambulazione fluida a velocità variabile, compresi cambi di ritmo e attività ad elevata richiesta funzionale, nonché la personalizzazione delle modalità di utilizzo tramite software dedicato o applicazione mobile. Il dispositivo deve mantenere la piena funzionalità in acqua dolce, salata e clorata, essere resistente alla corrosione e possedere un grado di protezione non inferiore a IP68, con possibilità di immersione fino ad almeno 2 metri di profondità. Indicato per livelli di amputazione: disarticolazione di ginocchio, amputazione transfemorale, disarticolazione d’anca.</t>
  </si>
  <si>
    <t>-Peso massimo del paziente: non inferiore a 150 kg
-Peso componente: non superiore a 1750 g
-angolo flessione: non inferiore a 130°
- Grado mobilità: k2
- k3
-k4</t>
  </si>
  <si>
    <t>-Peso massimo del paziente: non inferiore a 100 kg
-Peso componente: non superiore a 1290 g
-angolo flessione: non inferiore a 135°
- Grado mobilità: K3
-K4</t>
  </si>
  <si>
    <t>-Peso massimo del paziente: non inferiore a 116 kg
-Peso componente: non superiore a 2600 g
-angolo flessione: non inferiore a 120°
- Grado mobilità: K2
-K3
-K4</t>
  </si>
  <si>
    <t>-Peso massimo del paziente: se uomo non inferiore a 80 kg, se donna 80 kg.
-Peso componente: non superiore a 490 g
-Grado di Mobilità: K1
-K2</t>
  </si>
  <si>
    <t>-Peso massimo del paziente: se uomo non inferiore a 100 kg, se donna 75 kg.
-Peso componente: non superiore a 705 g
-Grado di Mobilità: K1
-K2</t>
  </si>
  <si>
    <t xml:space="preserve">Piedi  realizzati in legno, materiali plastici, schiume polimeriche e/o altri materiali equivalenti, dotati di articolazione meccanica alla tibio
-tarsica a singolo asse o equivalente. La struttura deve assicurare adeguato assorbimento degli urti e stabilità durante la deambulazione quotidiana, risultando idonea per l’impiego in protesi transfemorali e, ove previsto dal costruttore, in altre tipologie di amputazione dell’arto inferiore.
</t>
  </si>
  <si>
    <t>Piede in materiale composito, anche detto “ad accumulo e restituzione di energia”, almeno adatto per  le categorie K2
-K3. Il dispositivo dovrà assicurare assorbimento degli urti, restituzione dinamica dell'energia e progressione fisiologica del passo, favorendo l'adattamento a terreni irregolari, pendenze e diverse velocità di cammino. Dovrà inoltre offrire adeguata stabilità, comfort e sicurezza nelle attività quotidiane e dinamiche, contribuendo alla riduzione delle sollecitazioni sull'arto controlaterale.</t>
  </si>
  <si>
    <t>-Peso massimo del paziente:  non inferiore a 100 kg uomini e 75 kg donne
-Peso componente: non superiore a 870 g
-Grado di Mobilità: k2
-k3</t>
  </si>
  <si>
    <t>-Peso massimo del paziente:  non inferiore a 130 kg
-Peso componente: non superiore a 1080 g
-Grado di Mobilità: k2
-k3</t>
  </si>
  <si>
    <t>Piede realizzato in materiale composito almeno adatto per  le categorie K2
-K3 e con articolazione di tipo meccanico (senza controllo elettronico)</t>
  </si>
  <si>
    <t>-Peso massimo del paziente:  non inferiore a 125 kg
-Peso componente: non superiore a 1 kg 
-Grado di Mobilità: k2
-k3</t>
  </si>
  <si>
    <t>-Peso massimo del paziente: non inferiore a 125 kg
-Peso componente: non superiore a 1500 g
-Grado di Mobilità: K2
-k3</t>
  </si>
  <si>
    <t>-Peso massimo del paziente: non inferiore a 115 kg
-Peso componente: non superiore a 870 g
-Grado di Mobilità: K2
-k3</t>
  </si>
  <si>
    <t>Piede realizzato in materiale composito almeno adatto per  le categorie K2
-K3 e con altezza massima inferiore a 100mm</t>
  </si>
  <si>
    <t>-Peso massimo del paziente: non inferiore a 130 kg
-Peso componente: non superiore a 690 g
-Grado di Mobilità: K2
-K3
-K4</t>
  </si>
  <si>
    <t>-Peso massimo del paziente: non inferiore a 125 kg
-Peso componente: non superiore a 710 g
-Grado di Mobilità: K2
-K3</t>
  </si>
  <si>
    <t>-Peso massimo del paziente: non inferiore a 100 kg
-Peso componente: non superiore a 630 g
-Grado di Mobilità: almeno K1
-K2</t>
  </si>
  <si>
    <t>5) tolto 1 C
-brace</t>
  </si>
  <si>
    <t>Piede in legno/materiale plastico e schiuma polimerica per la realizzazione di protesi di arto inferiore dotato di articolazione  alla tibio
-tarsica di tipo meccanico.</t>
  </si>
  <si>
    <t>Ginocchi passivi a controllo elettronico con microprocessore per pazienti con livello di mobilità K1
-K2 (Kenevo)</t>
  </si>
  <si>
    <t>Dispositivi dotati di sensori e microprocessori per l’adattamento dinamico alle condizioni di cammino. Per utenti con livello di mobilità: K1
-K2 (secondo la scala di classificazione K
-Level).</t>
  </si>
  <si>
    <t>Ginocchi passivi a controllo elettronico con microprocessore per pazienti con livello di mobilità K2
-K4 (MODIFICARE) 
- (C
-leg e Rheo; RheoXC)</t>
  </si>
  <si>
    <t>Dispositivi dotati di sensori e microprocessori per l’adattamento dinamico alle condizioni di cammino. Per utenti con livello di mobilità: K2
-K4 (secondo la scala di classificazione K
-Level).</t>
  </si>
  <si>
    <t>Ginocchi passivi a controllo elettronico con microprocessore per pazienti con livello di mobilità K2
-K4 certificato per immersione in acqua ad una profondità non inferiore a 2m  (Navii)</t>
  </si>
  <si>
    <t>x4 (MODIFICARE) (X3
-X4)</t>
  </si>
  <si>
    <t>Per utenti con livello di mobilità: K2
-K4 (secondo la scala di classificazione K
-Level).</t>
  </si>
  <si>
    <t>Ginocchi attivi a controllo elettronico (Power Knee 
- Robot Knee)</t>
  </si>
  <si>
    <t>Articolazione anca monocentrica 
- Titanio</t>
  </si>
  <si>
    <t>Articolazione anca policentrica 
- Alluminio</t>
  </si>
  <si>
    <t>Cover in stampa 3D su misura 
- rigida con personalizzazione diretta da parte del tecnico ortopedico. Deve essere compresa la possibilità di inserire logo fornito dal cliente e piccole personalizzazioni su disegni e colorazioni</t>
  </si>
  <si>
    <t xml:space="preserve">Moduli pediatrici 
- Attacchi in alluminio con nucleo piramidale  </t>
  </si>
  <si>
    <t>Cuffia in TPE, stirene o copolimero senza anelli da utilizzare in associazione a sistemi di attacco distale (es: pin
-lock o “a fettuccia” o sistema di connessione magnetica). Prodotti con spessori (uniforme o rastremata) e forme differenti (conica, cilindrica) sono da considerare modelli distinti. Devono essere parte dell’offerta anche gli accessori necessari alla tipologia di attacco distale utilizzato (es: pin).</t>
  </si>
  <si>
    <t>Cuffia in TPE, stirene, copolimero, silicone medicale o poliuretano realizzato su misura in Central Fabrication (C
-FAB) a partire dal calco positivo del moncone del paziente.</t>
  </si>
  <si>
    <t>Attacchi di collegamento con forma a L, utilizzati per l'allineamento di prova e definitivo di componentistica sportiva per protesi di arto inferiore, quali piedi protesici per corsa ed salto in lungo.
- peso massimo utente: non inferiore a quanto previsto per le categorie vincolate FS.1 e FS.2</t>
  </si>
  <si>
    <t>Attacchi di collegamento per il collegamento dei piedi all'invasatura (di prova e definitiva) di componentistica sportiva per protesi di arto inferiore, quali piedi protesici per corsa ed salto in lungo. 
- peso massimo utente: non inferiore a quanto previsto per le categorie vincolate FS.1 e FS.2</t>
  </si>
  <si>
    <t>Attacchi di collegamento utilizzati per l'allineamento di prova e definitivo di componentistica sportiva per protesi di arto inferiore, quali piedi protesici per corsa ed salto in lungo. 
- peso massimo utente: non inferiore a quanto previsto per le categorie vincolate FS.1 e FS.2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</si>
</sst>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 &quot;€&quot;"/>
  </numFmts>
  <fonts count="37">
    <font>
      <sz val="11"/>
      <color theme="1"/>
      <name val="Calibri"/>
      <family val="2"/>
      <scheme val="minor"/>
    </font>
    <font>
      <i/>
      <sz val="11"/>
      <name val="Calibri Light"/>
      <family val="2"/>
      <scheme val="major"/>
    </font>
    <font>
      <sz val="11"/>
      <name val="Calibri Light"/>
      <family val="2"/>
      <scheme val="major"/>
    </font>
    <font>
      <sz val="11"/>
      <name val="Arial"/>
      <family val="2"/>
    </font>
    <font>
      <b/>
      <sz val="11"/>
      <color rgb="FF3F3F3F"/>
      <name val="Calibri"/>
      <family val="2"/>
    </font>
    <font>
      <b/>
      <sz val="11"/>
      <name val="Calibri"/>
      <family val="2"/>
    </font>
    <font>
      <b/>
      <sz val="11"/>
      <color theme="1"/>
      <name val="Calibri"/>
      <family val="2"/>
      <scheme val="minor"/>
    </font>
    <font>
      <sz val="11"/>
      <color theme="1"/>
      <name val="Calibri"/>
      <family val="2"/>
      <scheme val="minor"/>
    </font>
    <font>
      <sz val="11"/>
      <color theme="1"/>
      <name val="Calibri"/>
      <family val="2"/>
      <charset val="134"/>
    </font>
    <font>
      <b/>
      <sz val="11"/>
      <name val="Calibri"/>
      <family val="2"/>
      <scheme val="minor"/>
    </font>
    <font>
      <sz val="11"/>
      <name val="Calibri"/>
      <family val="2"/>
      <scheme val="minor"/>
    </font>
    <font>
      <sz val="11"/>
      <color rgb="FF000000"/>
      <name val="Calibri"/>
      <family val="2"/>
    </font>
    <font>
      <sz val="11"/>
      <color rgb="FFFF0000"/>
      <name val="Calibri"/>
      <family val="2"/>
      <scheme val="minor"/>
    </font>
    <font>
      <i/>
      <sz val="11"/>
      <color theme="1"/>
      <name val="Calibri"/>
      <family val="2"/>
      <scheme val="minor"/>
    </font>
    <font>
      <b/>
      <sz val="11"/>
      <color rgb="FFFF0000"/>
      <name val="Calibri"/>
      <family val="2"/>
      <scheme val="minor"/>
    </font>
    <font>
      <b/>
      <i/>
      <sz val="11"/>
      <color rgb="FFFF0000"/>
      <name val="Calibri"/>
      <family val="2"/>
      <scheme val="minor"/>
    </font>
    <font>
      <i/>
      <sz val="11"/>
      <color rgb="FFFF0000"/>
      <name val="Calibri"/>
      <family val="2"/>
      <scheme val="minor"/>
    </font>
    <font>
      <i/>
      <sz val="11"/>
      <name val="Calibri"/>
      <family val="2"/>
      <scheme val="minor"/>
    </font>
    <font>
      <b/>
      <sz val="12"/>
      <color theme="1"/>
      <name val="Verdana"/>
      <family val="2"/>
    </font>
    <font>
      <sz val="10"/>
      <color rgb="FF0D0D0D"/>
      <name val="Segoe UI"/>
      <family val="2"/>
    </font>
    <font>
      <b/>
      <sz val="12"/>
      <name val="Verdana"/>
      <family val="2"/>
    </font>
    <font>
      <sz val="8"/>
      <name val="Calibri"/>
      <family val="2"/>
      <scheme val="minor"/>
    </font>
    <font>
      <b/>
      <sz val="12"/>
      <name val="Arial"/>
      <family val="2"/>
    </font>
    <font>
      <b/>
      <sz val="12"/>
      <color rgb="FF000000"/>
      <name val="Arial"/>
      <family val="2"/>
    </font>
    <font>
      <b/>
      <sz val="11"/>
      <color rgb="FF000000"/>
      <name val="Arial"/>
      <family val="2"/>
    </font>
    <font>
      <sz val="11"/>
      <color rgb="FF000000"/>
      <name val="Arial"/>
      <family val="2"/>
    </font>
    <font>
      <sz val="12"/>
      <color rgb="FF000000"/>
      <name val="Arial"/>
      <family val="2"/>
    </font>
    <font>
      <sz val="11"/>
      <color theme="1"/>
      <name val="Arial"/>
      <family val="2"/>
    </font>
    <font>
      <b/>
      <sz val="11"/>
      <name val="Arial"/>
      <family val="2"/>
    </font>
    <font>
      <b/>
      <sz val="11"/>
      <color theme="1"/>
      <name val="Arial"/>
      <family val="2"/>
    </font>
    <font>
      <b/>
      <sz val="11"/>
      <color rgb="FFFF0000"/>
      <name val="Arial"/>
      <family val="2"/>
    </font>
    <font>
      <b/>
      <sz val="18"/>
      <color theme="1"/>
      <name val="Arial"/>
      <family val="2"/>
    </font>
    <font>
      <sz val="8"/>
      <color theme="1"/>
      <name val="Arial"/>
      <family val="2"/>
    </font>
    <font>
      <b/>
      <sz val="12"/>
      <color theme="1"/>
      <name val="Arial"/>
      <family val="2"/>
    </font>
    <font>
      <sz val="11"/>
      <color rgb="FFFF0000"/>
      <name val="Arial"/>
      <family val="2"/>
    </font>
    <font>
      <i/>
      <sz val="8"/>
      <color theme="1"/>
      <name val="Arial"/>
      <family val="2"/>
    </font>
    <font>
      <sz val="8"/>
      <name val="Arial"/>
      <family val="2"/>
    </font>
  </fonts>
  <fills count="16">
    <fill>
      <patternFill patternType="none"/>
    </fill>
    <fill>
      <patternFill patternType="gray125"/>
    </fill>
    <fill>
      <patternFill patternType="solid">
        <fgColor rgb="FFD8D8D8"/>
      </patternFill>
    </fill>
    <fill>
      <patternFill patternType="solid">
        <fgColor theme="0"/>
        <bgColor indexed="64"/>
      </patternFill>
    </fill>
    <fill>
      <patternFill patternType="solid">
        <fgColor theme="4" tint="0.79998168889431442"/>
        <bgColor theme="4" tint="0.79998168889431442"/>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59999389629810485"/>
        <bgColor indexed="64"/>
      </patternFill>
    </fill>
  </fills>
  <borders count="4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8" fillId="0" borderId="0">
      <alignment vertical="center"/>
    </xf>
    <xf numFmtId="43" fontId="7" fillId="0" borderId="0" applyFont="0" applyFill="0" applyBorder="0" applyAlignment="0" applyProtection="0"/>
    <xf numFmtId="9" fontId="7" fillId="0" borderId="0" applyFont="0" applyFill="0" applyBorder="0" applyAlignment="0" applyProtection="0"/>
  </cellStyleXfs>
  <cellXfs count="259">
    <xf numFmtId="0" fontId="0" fillId="0" borderId="0" xfId="0"/>
    <xf numFmtId="0" fontId="5"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0" borderId="0" xfId="0" applyAlignment="1">
      <alignment horizontal="center" vertical="center"/>
    </xf>
    <xf numFmtId="0" fontId="2" fillId="3" borderId="3" xfId="0" applyFont="1" applyFill="1" applyBorder="1" applyAlignment="1">
      <alignment horizontal="center" vertical="center" wrapText="1"/>
    </xf>
    <xf numFmtId="0" fontId="0" fillId="0" borderId="0" xfId="0" applyAlignment="1">
      <alignment wrapText="1"/>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5" fillId="2"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8" xfId="0" applyFill="1" applyBorder="1" applyAlignment="1">
      <alignment horizontal="center" vertical="center" wrapText="1"/>
    </xf>
    <xf numFmtId="164" fontId="0" fillId="3" borderId="9" xfId="0" applyNumberFormat="1" applyFill="1" applyBorder="1" applyAlignment="1">
      <alignment horizontal="center" vertical="center"/>
    </xf>
    <xf numFmtId="0" fontId="0" fillId="3" borderId="3" xfId="0" applyFill="1" applyBorder="1"/>
    <xf numFmtId="0" fontId="2" fillId="3" borderId="8" xfId="0" applyFont="1" applyFill="1" applyBorder="1" applyAlignment="1">
      <alignment horizontal="center" vertical="center" wrapText="1"/>
    </xf>
    <xf numFmtId="0" fontId="0" fillId="3" borderId="3" xfId="0" applyFill="1" applyBorder="1" applyAlignment="1">
      <alignment vertical="center" wrapText="1"/>
    </xf>
    <xf numFmtId="0" fontId="0" fillId="3" borderId="3" xfId="0" applyFill="1" applyBorder="1" applyAlignment="1">
      <alignment wrapText="1"/>
    </xf>
    <xf numFmtId="0" fontId="2" fillId="3" borderId="10" xfId="0" applyFont="1" applyFill="1" applyBorder="1" applyAlignment="1">
      <alignment horizontal="center" vertical="center" wrapText="1"/>
    </xf>
    <xf numFmtId="0" fontId="0" fillId="3" borderId="11" xfId="0" applyFill="1" applyBorder="1" applyAlignment="1">
      <alignment wrapText="1"/>
    </xf>
    <xf numFmtId="0" fontId="0" fillId="3" borderId="11" xfId="0" applyFill="1" applyBorder="1"/>
    <xf numFmtId="0" fontId="0" fillId="3" borderId="3" xfId="0" applyFill="1" applyBorder="1" applyAlignment="1">
      <alignment vertical="center"/>
    </xf>
    <xf numFmtId="164" fontId="0" fillId="3" borderId="9" xfId="0" applyNumberFormat="1" applyFill="1" applyBorder="1" applyAlignment="1">
      <alignment vertical="center"/>
    </xf>
    <xf numFmtId="0" fontId="0" fillId="0" borderId="0" xfId="0" applyAlignment="1">
      <alignment vertical="center"/>
    </xf>
    <xf numFmtId="164" fontId="0" fillId="0" borderId="0" xfId="0" applyNumberFormat="1" applyAlignment="1">
      <alignment vertical="center"/>
    </xf>
    <xf numFmtId="0" fontId="5" fillId="3" borderId="6" xfId="0" applyFont="1" applyFill="1" applyBorder="1" applyAlignment="1">
      <alignment vertical="center" wrapText="1"/>
    </xf>
    <xf numFmtId="164" fontId="5" fillId="3" borderId="7" xfId="0" applyNumberFormat="1" applyFont="1" applyFill="1" applyBorder="1" applyAlignment="1">
      <alignment vertical="center" wrapText="1"/>
    </xf>
    <xf numFmtId="0" fontId="0" fillId="3" borderId="11" xfId="0" applyFill="1" applyBorder="1" applyAlignment="1">
      <alignment horizontal="center" vertical="center"/>
    </xf>
    <xf numFmtId="164" fontId="0" fillId="3" borderId="12" xfId="0" applyNumberFormat="1" applyFill="1" applyBorder="1" applyAlignment="1">
      <alignment horizontal="center" vertical="center"/>
    </xf>
    <xf numFmtId="1" fontId="0" fillId="0" borderId="3" xfId="0" applyNumberFormat="1" applyBorder="1"/>
    <xf numFmtId="0" fontId="0" fillId="0" borderId="15" xfId="0" applyBorder="1" applyAlignment="1">
      <alignment vertical="center" wrapText="1"/>
    </xf>
    <xf numFmtId="164" fontId="0" fillId="0" borderId="3" xfId="0" applyNumberFormat="1" applyBorder="1" applyAlignment="1">
      <alignment vertical="center" wrapText="1"/>
    </xf>
    <xf numFmtId="164" fontId="0" fillId="0" borderId="11" xfId="0" applyNumberFormat="1" applyBorder="1" applyAlignment="1">
      <alignment vertical="center" wrapText="1"/>
    </xf>
    <xf numFmtId="0" fontId="9" fillId="0" borderId="3" xfId="0" applyFont="1" applyBorder="1" applyAlignment="1">
      <alignment vertical="center" wrapText="1"/>
    </xf>
    <xf numFmtId="0" fontId="9" fillId="0" borderId="17" xfId="0" applyFont="1" applyBorder="1" applyAlignment="1">
      <alignment vertical="center" wrapText="1"/>
    </xf>
    <xf numFmtId="164" fontId="0" fillId="0" borderId="15" xfId="0" applyNumberFormat="1" applyBorder="1" applyAlignment="1">
      <alignment vertical="center" wrapText="1"/>
    </xf>
    <xf numFmtId="0" fontId="9" fillId="0" borderId="8" xfId="0" applyFont="1" applyBorder="1" applyAlignment="1">
      <alignment vertical="center" wrapText="1"/>
    </xf>
    <xf numFmtId="0" fontId="0" fillId="0" borderId="3" xfId="0" applyBorder="1" applyAlignment="1">
      <alignment vertical="center" wrapText="1"/>
    </xf>
    <xf numFmtId="0" fontId="0" fillId="0" borderId="11" xfId="0" applyBorder="1" applyAlignment="1">
      <alignment vertical="center" wrapText="1"/>
    </xf>
    <xf numFmtId="0" fontId="9" fillId="0" borderId="10" xfId="0" applyFont="1" applyBorder="1" applyAlignment="1">
      <alignment vertical="center" wrapText="1"/>
    </xf>
    <xf numFmtId="0" fontId="0" fillId="0" borderId="3" xfId="0" applyBorder="1" applyAlignment="1">
      <alignment horizontal="right" vertical="center" wrapText="1"/>
    </xf>
    <xf numFmtId="164" fontId="0" fillId="0" borderId="3" xfId="0" applyNumberFormat="1" applyBorder="1" applyAlignment="1">
      <alignment horizontal="right" vertical="center" wrapText="1"/>
    </xf>
    <xf numFmtId="0" fontId="0" fillId="0" borderId="11" xfId="0" applyBorder="1" applyAlignment="1">
      <alignment horizontal="right" vertical="center" wrapText="1"/>
    </xf>
    <xf numFmtId="164" fontId="0" fillId="0" borderId="11" xfId="0" applyNumberFormat="1" applyBorder="1" applyAlignment="1">
      <alignment horizontal="right" vertical="center" wrapText="1"/>
    </xf>
    <xf numFmtId="164" fontId="0" fillId="0" borderId="0" xfId="0" applyNumberFormat="1"/>
    <xf numFmtId="0" fontId="10" fillId="0" borderId="3" xfId="0" applyFont="1" applyBorder="1" applyAlignment="1">
      <alignment vertical="center" wrapText="1"/>
    </xf>
    <xf numFmtId="0" fontId="9" fillId="0" borderId="11" xfId="0" applyFont="1" applyBorder="1" applyAlignment="1">
      <alignment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xf>
    <xf numFmtId="0" fontId="6" fillId="0" borderId="0" xfId="0" applyFont="1"/>
    <xf numFmtId="44" fontId="0" fillId="0" borderId="0" xfId="0" applyNumberFormat="1"/>
    <xf numFmtId="0" fontId="9" fillId="0" borderId="19" xfId="0" applyFont="1" applyBorder="1" applyAlignment="1">
      <alignment vertical="center" wrapText="1"/>
    </xf>
    <xf numFmtId="164" fontId="0" fillId="0" borderId="21" xfId="0" applyNumberFormat="1" applyBorder="1" applyAlignment="1">
      <alignment vertical="center" wrapText="1"/>
    </xf>
    <xf numFmtId="0" fontId="9" fillId="0" borderId="22" xfId="0" applyFont="1" applyBorder="1" applyAlignment="1">
      <alignment vertical="center" wrapText="1"/>
    </xf>
    <xf numFmtId="44" fontId="0" fillId="0" borderId="23" xfId="0" applyNumberFormat="1" applyBorder="1" applyAlignment="1">
      <alignment vertical="center" wrapText="1"/>
    </xf>
    <xf numFmtId="0" fontId="9" fillId="0" borderId="24" xfId="0" applyFont="1" applyBorder="1" applyAlignment="1">
      <alignment vertical="center" wrapText="1"/>
    </xf>
    <xf numFmtId="44" fontId="0" fillId="0" borderId="25" xfId="0" applyNumberFormat="1" applyBorder="1" applyAlignment="1">
      <alignment vertical="center" wrapText="1"/>
    </xf>
    <xf numFmtId="0" fontId="9" fillId="0" borderId="26" xfId="0" applyFont="1" applyBorder="1" applyAlignment="1">
      <alignment vertical="center" wrapText="1"/>
    </xf>
    <xf numFmtId="44" fontId="0" fillId="0" borderId="27" xfId="0" applyNumberFormat="1" applyBorder="1" applyAlignment="1">
      <alignment vertical="center" wrapText="1"/>
    </xf>
    <xf numFmtId="0" fontId="9" fillId="0" borderId="15" xfId="0" applyFont="1" applyBorder="1" applyAlignment="1">
      <alignment vertical="center" wrapText="1"/>
    </xf>
    <xf numFmtId="1" fontId="0" fillId="0" borderId="15" xfId="0" applyNumberFormat="1" applyBorder="1"/>
    <xf numFmtId="44" fontId="10" fillId="0" borderId="3" xfId="0" applyNumberFormat="1" applyFont="1" applyBorder="1" applyAlignment="1">
      <alignment horizontal="center" vertical="center"/>
    </xf>
    <xf numFmtId="0" fontId="10" fillId="0" borderId="15" xfId="0" applyFont="1" applyBorder="1" applyAlignment="1">
      <alignment horizontal="center" vertical="center"/>
    </xf>
    <xf numFmtId="0" fontId="10" fillId="0" borderId="15" xfId="0" applyFont="1" applyBorder="1" applyAlignment="1">
      <alignment horizontal="center" vertical="center" wrapText="1"/>
    </xf>
    <xf numFmtId="0" fontId="10" fillId="0" borderId="15" xfId="0" applyFont="1" applyBorder="1" applyAlignment="1">
      <alignment horizontal="left" vertical="center" wrapText="1"/>
    </xf>
    <xf numFmtId="44" fontId="10" fillId="0" borderId="15" xfId="0" applyNumberFormat="1" applyFont="1" applyBorder="1" applyAlignment="1">
      <alignment horizontal="center" vertical="center"/>
    </xf>
    <xf numFmtId="0" fontId="10" fillId="0" borderId="16" xfId="0" applyFont="1" applyBorder="1" applyAlignment="1">
      <alignment horizontal="center" vertical="center"/>
    </xf>
    <xf numFmtId="0" fontId="10" fillId="0" borderId="16" xfId="0" applyFont="1" applyBorder="1" applyAlignment="1">
      <alignment horizontal="center" vertical="center" wrapText="1"/>
    </xf>
    <xf numFmtId="0" fontId="10" fillId="0" borderId="16" xfId="0" applyFont="1" applyBorder="1" applyAlignment="1">
      <alignment horizontal="left" vertical="center" wrapText="1"/>
    </xf>
    <xf numFmtId="44" fontId="10" fillId="0" borderId="16" xfId="0" applyNumberFormat="1" applyFont="1" applyBorder="1" applyAlignment="1">
      <alignment horizontal="center" vertical="center"/>
    </xf>
    <xf numFmtId="0" fontId="9" fillId="0" borderId="28" xfId="0" applyFont="1" applyBorder="1" applyAlignment="1">
      <alignment vertical="center" wrapText="1"/>
    </xf>
    <xf numFmtId="0" fontId="0" fillId="4" borderId="3" xfId="0" applyFill="1" applyBorder="1" applyAlignment="1">
      <alignment vertical="center" wrapText="1"/>
    </xf>
    <xf numFmtId="1" fontId="0" fillId="4" borderId="3" xfId="0" applyNumberFormat="1" applyFill="1" applyBorder="1"/>
    <xf numFmtId="1" fontId="0" fillId="4" borderId="3" xfId="0" applyNumberFormat="1" applyFill="1" applyBorder="1" applyAlignment="1">
      <alignment vertical="center"/>
    </xf>
    <xf numFmtId="1" fontId="0" fillId="4" borderId="29" xfId="0" applyNumberFormat="1" applyFill="1" applyBorder="1"/>
    <xf numFmtId="44" fontId="10" fillId="4" borderId="15" xfId="0" applyNumberFormat="1" applyFont="1" applyFill="1" applyBorder="1" applyAlignment="1">
      <alignment horizontal="center" vertical="center"/>
    </xf>
    <xf numFmtId="44" fontId="10" fillId="4" borderId="3" xfId="0" applyNumberFormat="1" applyFont="1" applyFill="1" applyBorder="1" applyAlignment="1">
      <alignment horizontal="center" vertical="center"/>
    </xf>
    <xf numFmtId="44" fontId="10" fillId="4" borderId="16" xfId="0" applyNumberFormat="1" applyFont="1" applyFill="1" applyBorder="1" applyAlignment="1">
      <alignment horizontal="center" vertical="center"/>
    </xf>
    <xf numFmtId="2" fontId="0" fillId="0" borderId="0" xfId="0" applyNumberFormat="1"/>
    <xf numFmtId="0" fontId="9" fillId="0" borderId="20" xfId="0" applyFont="1" applyBorder="1" applyAlignment="1">
      <alignment vertical="center" wrapText="1"/>
    </xf>
    <xf numFmtId="0" fontId="9" fillId="0" borderId="9" xfId="0" applyFont="1" applyBorder="1" applyAlignment="1">
      <alignment vertical="center" wrapText="1"/>
    </xf>
    <xf numFmtId="0" fontId="9" fillId="0" borderId="31" xfId="0" applyFont="1" applyBorder="1" applyAlignment="1">
      <alignment vertical="center" wrapText="1"/>
    </xf>
    <xf numFmtId="0" fontId="9" fillId="0" borderId="32" xfId="0" applyFont="1" applyBorder="1" applyAlignment="1">
      <alignment vertical="center" wrapText="1"/>
    </xf>
    <xf numFmtId="0" fontId="0" fillId="0" borderId="33" xfId="0" applyBorder="1" applyAlignment="1">
      <alignment vertical="center" wrapText="1"/>
    </xf>
    <xf numFmtId="164" fontId="0" fillId="0" borderId="33" xfId="0" applyNumberFormat="1" applyBorder="1" applyAlignment="1">
      <alignment vertical="center" wrapText="1"/>
    </xf>
    <xf numFmtId="0" fontId="0" fillId="0" borderId="15" xfId="0" applyBorder="1" applyAlignment="1">
      <alignment horizontal="center" vertical="center" wrapText="1"/>
    </xf>
    <xf numFmtId="164" fontId="0" fillId="0" borderId="15" xfId="0" applyNumberFormat="1" applyBorder="1" applyAlignment="1">
      <alignment horizontal="center" vertical="center" wrapText="1"/>
    </xf>
    <xf numFmtId="0" fontId="0" fillId="0" borderId="3" xfId="0" applyBorder="1" applyAlignment="1">
      <alignment horizontal="center" vertical="center" wrapText="1"/>
    </xf>
    <xf numFmtId="164" fontId="0" fillId="0" borderId="3" xfId="0" applyNumberFormat="1" applyBorder="1" applyAlignment="1">
      <alignment horizontal="center" vertical="center" wrapText="1"/>
    </xf>
    <xf numFmtId="0" fontId="0" fillId="0" borderId="16" xfId="0" applyBorder="1" applyAlignment="1">
      <alignment horizontal="center" vertical="center" wrapText="1"/>
    </xf>
    <xf numFmtId="164" fontId="0" fillId="0" borderId="16" xfId="0" applyNumberFormat="1" applyBorder="1" applyAlignment="1">
      <alignment horizontal="center" vertical="center" wrapText="1"/>
    </xf>
    <xf numFmtId="44" fontId="0" fillId="0" borderId="15" xfId="0" applyNumberFormat="1" applyBorder="1" applyAlignment="1">
      <alignment horizontal="center" vertical="center"/>
    </xf>
    <xf numFmtId="44" fontId="0" fillId="0" borderId="3" xfId="0" applyNumberFormat="1" applyBorder="1" applyAlignment="1">
      <alignment horizontal="center" vertical="center"/>
    </xf>
    <xf numFmtId="44" fontId="0" fillId="0" borderId="16" xfId="0" applyNumberFormat="1" applyBorder="1" applyAlignment="1">
      <alignment horizontal="center" vertical="center"/>
    </xf>
    <xf numFmtId="164" fontId="0" fillId="0" borderId="20" xfId="0" applyNumberFormat="1" applyBorder="1" applyAlignment="1">
      <alignment horizontal="center" vertical="center" wrapText="1"/>
    </xf>
    <xf numFmtId="164" fontId="0" fillId="0" borderId="9" xfId="0" applyNumberFormat="1" applyBorder="1" applyAlignment="1">
      <alignment horizontal="center" vertical="center" wrapText="1"/>
    </xf>
    <xf numFmtId="164" fontId="0" fillId="0" borderId="31" xfId="0" applyNumberFormat="1" applyBorder="1" applyAlignment="1">
      <alignment horizontal="center" vertical="center" wrapText="1"/>
    </xf>
    <xf numFmtId="44" fontId="0" fillId="0" borderId="34" xfId="0" applyNumberFormat="1" applyBorder="1" applyAlignment="1">
      <alignment vertical="center" wrapText="1"/>
    </xf>
    <xf numFmtId="0" fontId="0" fillId="0" borderId="3" xfId="0" applyBorder="1"/>
    <xf numFmtId="0" fontId="11" fillId="0" borderId="35" xfId="0" applyFont="1" applyBorder="1" applyAlignment="1">
      <alignment horizontal="right" vertical="center"/>
    </xf>
    <xf numFmtId="0" fontId="0" fillId="0" borderId="11" xfId="0" applyBorder="1" applyAlignment="1">
      <alignment horizontal="center" vertical="center" wrapText="1"/>
    </xf>
    <xf numFmtId="0" fontId="0" fillId="0" borderId="33" xfId="0" applyBorder="1" applyAlignment="1">
      <alignment horizontal="center" vertical="center" wrapText="1"/>
    </xf>
    <xf numFmtId="49" fontId="0" fillId="0" borderId="33" xfId="0" applyNumberFormat="1" applyBorder="1" applyAlignment="1">
      <alignment vertical="center" wrapText="1"/>
    </xf>
    <xf numFmtId="49" fontId="0" fillId="0" borderId="0" xfId="0" applyNumberFormat="1"/>
    <xf numFmtId="49" fontId="0" fillId="0" borderId="15" xfId="0" applyNumberFormat="1" applyBorder="1" applyAlignment="1">
      <alignment horizontal="left" vertical="center" wrapText="1"/>
    </xf>
    <xf numFmtId="49" fontId="0" fillId="0" borderId="15" xfId="0" applyNumberFormat="1" applyBorder="1" applyAlignment="1">
      <alignment vertical="center" wrapText="1"/>
    </xf>
    <xf numFmtId="49" fontId="0" fillId="0" borderId="3" xfId="0" applyNumberFormat="1" applyBorder="1" applyAlignment="1">
      <alignment vertical="center" wrapText="1"/>
    </xf>
    <xf numFmtId="49" fontId="0" fillId="0" borderId="11" xfId="0" applyNumberFormat="1" applyBorder="1" applyAlignment="1">
      <alignment vertical="center" wrapText="1"/>
    </xf>
    <xf numFmtId="49" fontId="10" fillId="0" borderId="3" xfId="0" applyNumberFormat="1" applyFont="1" applyBorder="1" applyAlignment="1">
      <alignment horizontal="center" vertical="center" wrapText="1"/>
    </xf>
    <xf numFmtId="0" fontId="0" fillId="0" borderId="6" xfId="0" applyBorder="1" applyAlignment="1">
      <alignment vertical="center" wrapText="1"/>
    </xf>
    <xf numFmtId="49" fontId="10" fillId="0" borderId="15" xfId="0" applyNumberFormat="1" applyFont="1" applyBorder="1" applyAlignment="1">
      <alignment horizontal="center" vertical="center" wrapText="1"/>
    </xf>
    <xf numFmtId="49" fontId="10" fillId="0" borderId="3" xfId="0" applyNumberFormat="1" applyFont="1" applyBorder="1" applyAlignment="1">
      <alignment horizontal="left"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49" fontId="18" fillId="0" borderId="14" xfId="0" applyNumberFormat="1" applyFont="1" applyBorder="1" applyAlignment="1">
      <alignment vertical="center" wrapText="1"/>
    </xf>
    <xf numFmtId="1" fontId="18" fillId="0" borderId="14" xfId="0" applyNumberFormat="1" applyFont="1" applyBorder="1" applyAlignment="1">
      <alignment horizontal="center" vertical="center" wrapText="1"/>
    </xf>
    <xf numFmtId="164" fontId="18" fillId="0" borderId="14" xfId="0" applyNumberFormat="1" applyFont="1" applyBorder="1" applyAlignment="1">
      <alignment horizontal="center" vertical="center" wrapText="1"/>
    </xf>
    <xf numFmtId="164" fontId="18" fillId="0" borderId="18" xfId="0" applyNumberFormat="1" applyFont="1" applyBorder="1" applyAlignment="1">
      <alignment horizontal="center" vertical="center" wrapText="1"/>
    </xf>
    <xf numFmtId="164" fontId="18" fillId="0" borderId="11" xfId="0" applyNumberFormat="1" applyFont="1" applyBorder="1" applyAlignment="1">
      <alignment horizontal="center" vertical="center" wrapText="1"/>
    </xf>
    <xf numFmtId="0" fontId="9" fillId="0" borderId="36" xfId="0" applyFont="1" applyBorder="1" applyAlignment="1">
      <alignment vertical="center" wrapText="1"/>
    </xf>
    <xf numFmtId="0" fontId="10" fillId="0" borderId="11" xfId="0" applyFont="1" applyBorder="1" applyAlignment="1">
      <alignment horizontal="left" vertical="center" wrapText="1"/>
    </xf>
    <xf numFmtId="0" fontId="10" fillId="0" borderId="11" xfId="0" applyFont="1" applyBorder="1" applyAlignment="1">
      <alignment horizontal="center" vertical="center" wrapText="1"/>
    </xf>
    <xf numFmtId="49" fontId="10" fillId="0" borderId="11" xfId="0" applyNumberFormat="1" applyFont="1" applyBorder="1" applyAlignment="1">
      <alignment horizontal="center" vertical="center" wrapText="1"/>
    </xf>
    <xf numFmtId="0" fontId="19" fillId="0" borderId="0" xfId="0" applyFont="1" applyAlignment="1">
      <alignment horizontal="left" vertical="center"/>
    </xf>
    <xf numFmtId="0" fontId="0" fillId="0" borderId="3" xfId="0" applyBorder="1" applyAlignment="1">
      <alignment horizontal="left" vertical="center" wrapText="1"/>
    </xf>
    <xf numFmtId="0" fontId="0" fillId="0" borderId="11" xfId="0" applyBorder="1" applyAlignment="1">
      <alignment horizontal="left" vertical="center" wrapText="1"/>
    </xf>
    <xf numFmtId="49" fontId="0" fillId="0" borderId="3" xfId="0" applyNumberFormat="1" applyBorder="1" applyAlignment="1">
      <alignment horizontal="left" vertical="center" wrapText="1"/>
    </xf>
    <xf numFmtId="49" fontId="0" fillId="0" borderId="11" xfId="0" applyNumberFormat="1" applyBorder="1" applyAlignment="1">
      <alignment horizontal="left" vertical="center" wrapText="1"/>
    </xf>
    <xf numFmtId="49" fontId="0" fillId="0" borderId="30" xfId="0" applyNumberFormat="1" applyBorder="1" applyAlignment="1">
      <alignment horizontal="left" vertical="center" wrapText="1"/>
    </xf>
    <xf numFmtId="49" fontId="0" fillId="0" borderId="6" xfId="0" applyNumberFormat="1" applyBorder="1" applyAlignment="1">
      <alignment horizontal="left" vertical="center" wrapText="1"/>
    </xf>
    <xf numFmtId="1" fontId="20" fillId="0" borderId="13" xfId="0" applyNumberFormat="1" applyFont="1" applyBorder="1" applyAlignment="1">
      <alignment vertical="center" wrapText="1"/>
    </xf>
    <xf numFmtId="1" fontId="20" fillId="0" borderId="14" xfId="0" applyNumberFormat="1" applyFont="1" applyBorder="1" applyAlignment="1">
      <alignment vertical="center" wrapText="1"/>
    </xf>
    <xf numFmtId="49" fontId="20" fillId="0" borderId="14" xfId="0" applyNumberFormat="1" applyFont="1" applyBorder="1" applyAlignment="1">
      <alignment vertical="center" wrapText="1"/>
    </xf>
    <xf numFmtId="49" fontId="20" fillId="0" borderId="14" xfId="0" applyNumberFormat="1" applyFont="1" applyBorder="1" applyAlignment="1">
      <alignment horizontal="center" vertical="center" wrapText="1"/>
    </xf>
    <xf numFmtId="1" fontId="20" fillId="0" borderId="14" xfId="0" applyNumberFormat="1" applyFont="1" applyBorder="1" applyAlignment="1">
      <alignment horizontal="center" vertical="center" wrapText="1"/>
    </xf>
    <xf numFmtId="164" fontId="20" fillId="0" borderId="14" xfId="0" applyNumberFormat="1" applyFont="1" applyBorder="1" applyAlignment="1">
      <alignment horizontal="center" vertical="center" wrapText="1"/>
    </xf>
    <xf numFmtId="164" fontId="20" fillId="0" borderId="18" xfId="0" applyNumberFormat="1" applyFont="1" applyBorder="1" applyAlignment="1">
      <alignment horizontal="center" vertical="center" wrapText="1"/>
    </xf>
    <xf numFmtId="164" fontId="20" fillId="0" borderId="11" xfId="0" applyNumberFormat="1" applyFont="1" applyBorder="1" applyAlignment="1">
      <alignment horizontal="center" vertical="center" wrapText="1"/>
    </xf>
    <xf numFmtId="164" fontId="0" fillId="0" borderId="20" xfId="0" applyNumberFormat="1" applyBorder="1" applyAlignment="1">
      <alignment vertical="center" wrapText="1"/>
    </xf>
    <xf numFmtId="164" fontId="0" fillId="0" borderId="30" xfId="0" applyNumberFormat="1" applyBorder="1" applyAlignment="1">
      <alignment vertical="center" wrapText="1"/>
    </xf>
    <xf numFmtId="164" fontId="0" fillId="0" borderId="7" xfId="0" applyNumberFormat="1" applyBorder="1" applyAlignment="1">
      <alignment vertical="center" wrapText="1"/>
    </xf>
    <xf numFmtId="164" fontId="0" fillId="0" borderId="6" xfId="0" applyNumberFormat="1" applyBorder="1" applyAlignment="1">
      <alignment vertical="center" wrapText="1"/>
    </xf>
    <xf numFmtId="164" fontId="0" fillId="0" borderId="18" xfId="0" applyNumberFormat="1" applyBorder="1" applyAlignment="1">
      <alignment vertical="center" wrapText="1"/>
    </xf>
    <xf numFmtId="164" fontId="0" fillId="0" borderId="14" xfId="0" applyNumberFormat="1" applyBorder="1" applyAlignment="1">
      <alignment vertical="center" wrapText="1"/>
    </xf>
    <xf numFmtId="164" fontId="0" fillId="0" borderId="16" xfId="0" applyNumberFormat="1" applyBorder="1" applyAlignment="1">
      <alignment vertical="center" wrapText="1"/>
    </xf>
    <xf numFmtId="49" fontId="0" fillId="0" borderId="15"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11" xfId="0" applyNumberFormat="1" applyBorder="1" applyAlignment="1">
      <alignment horizontal="center" vertical="center" wrapText="1"/>
    </xf>
    <xf numFmtId="1" fontId="0" fillId="0" borderId="3" xfId="0" applyNumberFormat="1" applyBorder="1" applyAlignment="1">
      <alignment vertical="center"/>
    </xf>
    <xf numFmtId="1" fontId="0" fillId="0" borderId="11" xfId="0" applyNumberFormat="1" applyBorder="1"/>
    <xf numFmtId="0" fontId="9" fillId="0" borderId="39" xfId="0" applyFont="1" applyBorder="1" applyAlignment="1">
      <alignment vertical="center" wrapText="1"/>
    </xf>
    <xf numFmtId="1" fontId="0" fillId="0" borderId="30" xfId="0" applyNumberFormat="1" applyBorder="1"/>
    <xf numFmtId="0" fontId="0" fillId="0" borderId="30" xfId="0" applyBorder="1" applyAlignment="1">
      <alignment vertical="center" wrapText="1"/>
    </xf>
    <xf numFmtId="164" fontId="0" fillId="0" borderId="40" xfId="0" applyNumberFormat="1" applyBorder="1" applyAlignment="1">
      <alignment vertical="center" wrapText="1"/>
    </xf>
    <xf numFmtId="0" fontId="10" fillId="0" borderId="15" xfId="0" applyFont="1" applyBorder="1" applyAlignment="1">
      <alignment vertical="center" wrapText="1"/>
    </xf>
    <xf numFmtId="49" fontId="0" fillId="0" borderId="6" xfId="0" applyNumberFormat="1" applyBorder="1" applyAlignment="1">
      <alignment vertical="center" wrapText="1"/>
    </xf>
    <xf numFmtId="0" fontId="10" fillId="0" borderId="11" xfId="0" applyFont="1" applyBorder="1" applyAlignment="1">
      <alignment vertical="center" wrapText="1"/>
    </xf>
    <xf numFmtId="49" fontId="0" fillId="0" borderId="14" xfId="0" applyNumberFormat="1" applyBorder="1" applyAlignment="1">
      <alignment vertical="center" wrapText="1"/>
    </xf>
    <xf numFmtId="0" fontId="6" fillId="0" borderId="15" xfId="0" applyFont="1" applyBorder="1" applyAlignment="1">
      <alignment vertical="center" wrapText="1"/>
    </xf>
    <xf numFmtId="0" fontId="6" fillId="0" borderId="3" xfId="0" applyFont="1" applyBorder="1" applyAlignment="1">
      <alignment vertical="center" wrapText="1"/>
    </xf>
    <xf numFmtId="49" fontId="10" fillId="0" borderId="6" xfId="0" applyNumberFormat="1" applyFont="1" applyBorder="1" applyAlignment="1">
      <alignment horizontal="left" vertical="center" wrapText="1"/>
    </xf>
    <xf numFmtId="49" fontId="10" fillId="0" borderId="3" xfId="0" applyNumberFormat="1" applyFont="1" applyBorder="1" applyAlignment="1">
      <alignment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10" fillId="0" borderId="30" xfId="0" applyFont="1" applyBorder="1" applyAlignment="1">
      <alignment vertical="center" wrapText="1"/>
    </xf>
    <xf numFmtId="164" fontId="0" fillId="0" borderId="34" xfId="0" applyNumberFormat="1" applyBorder="1" applyAlignment="1">
      <alignment vertical="center" wrapText="1"/>
    </xf>
    <xf numFmtId="9" fontId="10" fillId="0" borderId="15" xfId="3" applyFont="1" applyBorder="1" applyAlignment="1">
      <alignment vertical="center" wrapText="1"/>
    </xf>
    <xf numFmtId="0" fontId="6" fillId="0" borderId="0" xfId="0" applyFont="1" applyAlignment="1">
      <alignment wrapText="1"/>
    </xf>
    <xf numFmtId="0" fontId="0" fillId="0" borderId="0" xfId="0" applyAlignment="1">
      <alignment horizontal="right"/>
    </xf>
    <xf numFmtId="1" fontId="22" fillId="13" borderId="29" xfId="0" applyNumberFormat="1" applyFont="1" applyFill="1" applyBorder="1" applyAlignment="1">
      <alignment horizontal="center" vertical="center" wrapText="1"/>
    </xf>
    <xf numFmtId="1" fontId="23" fillId="15" borderId="29" xfId="0" applyNumberFormat="1" applyFont="1" applyFill="1" applyBorder="1" applyAlignment="1">
      <alignment horizontal="center" vertical="center" wrapText="1"/>
    </xf>
    <xf numFmtId="1" fontId="24" fillId="15" borderId="29" xfId="0" applyNumberFormat="1" applyFont="1" applyFill="1" applyBorder="1" applyAlignment="1">
      <alignment horizontal="center" vertical="center" wrapText="1"/>
    </xf>
    <xf numFmtId="0" fontId="27" fillId="0" borderId="0" xfId="0" applyFont="1"/>
    <xf numFmtId="0" fontId="28" fillId="5" borderId="3" xfId="0" applyFont="1" applyFill="1" applyBorder="1" applyAlignment="1">
      <alignment vertical="center" wrapText="1"/>
    </xf>
    <xf numFmtId="0" fontId="27" fillId="5" borderId="3" xfId="0" applyFont="1" applyFill="1" applyBorder="1"/>
    <xf numFmtId="0" fontId="29" fillId="6" borderId="3" xfId="0" applyFont="1" applyFill="1" applyBorder="1" applyAlignment="1">
      <alignment vertical="center" wrapText="1"/>
    </xf>
    <xf numFmtId="0" fontId="28" fillId="6" borderId="3" xfId="0" applyFont="1" applyFill="1" applyBorder="1" applyAlignment="1">
      <alignment vertical="center" wrapText="1"/>
    </xf>
    <xf numFmtId="0" fontId="27" fillId="6" borderId="3" xfId="0" applyFont="1" applyFill="1" applyBorder="1"/>
    <xf numFmtId="0" fontId="28" fillId="7" borderId="3" xfId="0" applyFont="1" applyFill="1" applyBorder="1" applyAlignment="1">
      <alignment vertical="center" wrapText="1"/>
    </xf>
    <xf numFmtId="0" fontId="27" fillId="14" borderId="3" xfId="0" applyFont="1" applyFill="1" applyBorder="1"/>
    <xf numFmtId="0" fontId="28" fillId="8" borderId="3" xfId="0" applyFont="1" applyFill="1" applyBorder="1" applyAlignment="1">
      <alignment vertical="center" wrapText="1"/>
    </xf>
    <xf numFmtId="0" fontId="27" fillId="8" borderId="3" xfId="0" applyFont="1" applyFill="1" applyBorder="1"/>
    <xf numFmtId="0" fontId="28" fillId="9" borderId="3" xfId="0" applyFont="1" applyFill="1" applyBorder="1" applyAlignment="1">
      <alignment vertical="center" wrapText="1"/>
    </xf>
    <xf numFmtId="0" fontId="27" fillId="9" borderId="3" xfId="0" applyFont="1" applyFill="1" applyBorder="1"/>
    <xf numFmtId="0" fontId="28" fillId="10" borderId="3" xfId="0" applyFont="1" applyFill="1" applyBorder="1" applyAlignment="1">
      <alignment vertical="center" wrapText="1"/>
    </xf>
    <xf numFmtId="0" fontId="27" fillId="10" borderId="3" xfId="0" applyFont="1" applyFill="1" applyBorder="1"/>
    <xf numFmtId="0" fontId="28" fillId="11" borderId="3" xfId="0" applyFont="1" applyFill="1" applyBorder="1" applyAlignment="1">
      <alignment vertical="center" wrapText="1"/>
    </xf>
    <xf numFmtId="49" fontId="28" fillId="11" borderId="3" xfId="0" applyNumberFormat="1" applyFont="1" applyFill="1" applyBorder="1" applyAlignment="1">
      <alignment vertical="center" wrapText="1"/>
    </xf>
    <xf numFmtId="0" fontId="27" fillId="11" borderId="3" xfId="0" applyFont="1" applyFill="1" applyBorder="1"/>
    <xf numFmtId="0" fontId="28" fillId="12" borderId="3" xfId="0" applyFont="1" applyFill="1" applyBorder="1" applyAlignment="1">
      <alignment vertical="center" wrapText="1"/>
    </xf>
    <xf numFmtId="49" fontId="28" fillId="12" borderId="3" xfId="0" applyNumberFormat="1" applyFont="1" applyFill="1" applyBorder="1" applyAlignment="1">
      <alignment vertical="center" wrapText="1"/>
    </xf>
    <xf numFmtId="0" fontId="27" fillId="12" borderId="3" xfId="0" applyFont="1" applyFill="1" applyBorder="1"/>
    <xf numFmtId="0" fontId="28" fillId="13" borderId="3" xfId="0" applyFont="1" applyFill="1" applyBorder="1" applyAlignment="1">
      <alignment vertical="center" wrapText="1"/>
    </xf>
    <xf numFmtId="0" fontId="27" fillId="13" borderId="3" xfId="0" applyFont="1" applyFill="1" applyBorder="1"/>
    <xf numFmtId="0" fontId="29" fillId="0" borderId="0" xfId="0" applyFont="1"/>
    <xf numFmtId="49" fontId="29" fillId="0" borderId="0" xfId="0" applyNumberFormat="1" applyFont="1"/>
    <xf numFmtId="1" fontId="22" fillId="13" borderId="13" xfId="0" applyNumberFormat="1" applyFont="1" applyFill="1" applyBorder="1" applyAlignment="1">
      <alignment vertical="center" wrapText="1"/>
    </xf>
    <xf numFmtId="49" fontId="22" fillId="13" borderId="13" xfId="0" applyNumberFormat="1" applyFont="1" applyFill="1" applyBorder="1" applyAlignment="1">
      <alignment horizontal="center" vertical="center" wrapText="1"/>
    </xf>
    <xf numFmtId="1" fontId="22" fillId="13" borderId="14" xfId="0" applyNumberFormat="1" applyFont="1" applyFill="1" applyBorder="1" applyAlignment="1">
      <alignment vertical="center" wrapText="1"/>
    </xf>
    <xf numFmtId="1" fontId="25" fillId="15" borderId="14" xfId="0" applyNumberFormat="1" applyFont="1" applyFill="1" applyBorder="1" applyAlignment="1">
      <alignment vertical="center" wrapText="1"/>
    </xf>
    <xf numFmtId="49" fontId="23" fillId="13" borderId="14" xfId="0" applyNumberFormat="1" applyFont="1" applyFill="1" applyBorder="1" applyAlignment="1">
      <alignment vertical="center" wrapText="1"/>
    </xf>
    <xf numFmtId="49" fontId="23" fillId="15" borderId="14" xfId="0" applyNumberFormat="1" applyFont="1" applyFill="1" applyBorder="1" applyAlignment="1">
      <alignment vertical="center" wrapText="1"/>
    </xf>
    <xf numFmtId="0" fontId="28" fillId="0" borderId="19" xfId="0" applyFont="1" applyBorder="1" applyAlignment="1">
      <alignment vertical="center" wrapText="1"/>
    </xf>
    <xf numFmtId="0" fontId="28" fillId="0" borderId="15" xfId="0" applyFont="1" applyBorder="1" applyAlignment="1">
      <alignment vertical="center" wrapText="1"/>
    </xf>
    <xf numFmtId="0" fontId="3" fillId="0" borderId="15" xfId="0" applyFont="1" applyBorder="1" applyAlignment="1">
      <alignment vertical="center" wrapText="1"/>
    </xf>
    <xf numFmtId="49" fontId="27" fillId="0" borderId="15" xfId="0" applyNumberFormat="1" applyFont="1" applyBorder="1" applyAlignment="1">
      <alignment horizontal="left" vertical="center" wrapText="1"/>
    </xf>
    <xf numFmtId="49" fontId="27" fillId="0" borderId="15" xfId="0" applyNumberFormat="1" applyFont="1" applyBorder="1" applyAlignment="1">
      <alignment vertical="center" wrapText="1"/>
    </xf>
    <xf numFmtId="0" fontId="28" fillId="0" borderId="22" xfId="0" applyFont="1" applyBorder="1" applyAlignment="1">
      <alignment vertical="center" wrapText="1"/>
    </xf>
    <xf numFmtId="0" fontId="28" fillId="0" borderId="3"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49" fontId="27" fillId="0" borderId="3" xfId="0" applyNumberFormat="1" applyFont="1" applyBorder="1" applyAlignment="1">
      <alignment horizontal="left" vertical="center" wrapText="1"/>
    </xf>
    <xf numFmtId="49" fontId="27" fillId="0" borderId="3" xfId="0" applyNumberFormat="1" applyFont="1" applyBorder="1" applyAlignment="1">
      <alignment vertical="center" wrapText="1"/>
    </xf>
    <xf numFmtId="0" fontId="28" fillId="0" borderId="24" xfId="0" applyFont="1" applyBorder="1" applyAlignment="1">
      <alignment vertical="center" wrapText="1"/>
    </xf>
    <xf numFmtId="0" fontId="28" fillId="0" borderId="16" xfId="0" applyFont="1" applyBorder="1" applyAlignment="1">
      <alignment vertical="center" wrapText="1"/>
    </xf>
    <xf numFmtId="0" fontId="3" fillId="0" borderId="16" xfId="0" applyFont="1" applyBorder="1" applyAlignment="1">
      <alignment vertical="center" wrapText="1"/>
    </xf>
    <xf numFmtId="0" fontId="3" fillId="0" borderId="14" xfId="0" applyFont="1" applyBorder="1" applyAlignment="1">
      <alignment vertical="center" wrapText="1"/>
    </xf>
    <xf numFmtId="49" fontId="27" fillId="0" borderId="16" xfId="0" applyNumberFormat="1" applyFont="1" applyBorder="1" applyAlignment="1">
      <alignment horizontal="left" vertical="center" wrapText="1"/>
    </xf>
    <xf numFmtId="49" fontId="27" fillId="0" borderId="16" xfId="0" applyNumberFormat="1" applyFont="1" applyBorder="1" applyAlignment="1">
      <alignment vertical="center" wrapText="1"/>
    </xf>
    <xf numFmtId="0" fontId="29" fillId="0" borderId="19" xfId="0" applyFont="1" applyBorder="1" applyAlignment="1">
      <alignment vertical="center" wrapText="1"/>
    </xf>
    <xf numFmtId="9" fontId="3" fillId="0" borderId="15" xfId="3" applyFont="1" applyFill="1" applyBorder="1" applyAlignment="1">
      <alignment vertical="center" wrapText="1"/>
    </xf>
    <xf numFmtId="0" fontId="29" fillId="0" borderId="22" xfId="0" applyFont="1" applyBorder="1" applyAlignment="1">
      <alignment vertical="center" wrapText="1"/>
    </xf>
    <xf numFmtId="0" fontId="27" fillId="0" borderId="3" xfId="0" applyFont="1" applyBorder="1" applyAlignment="1">
      <alignment vertical="center" wrapText="1"/>
    </xf>
    <xf numFmtId="0" fontId="27" fillId="0" borderId="16" xfId="0" applyFont="1" applyBorder="1" applyAlignment="1">
      <alignment vertical="center" wrapText="1"/>
    </xf>
    <xf numFmtId="0" fontId="27" fillId="0" borderId="15" xfId="0" applyFont="1" applyBorder="1" applyAlignment="1">
      <alignment vertical="center" wrapText="1"/>
    </xf>
    <xf numFmtId="49" fontId="28" fillId="0" borderId="15" xfId="0" applyNumberFormat="1" applyFont="1" applyBorder="1" applyAlignment="1">
      <alignment vertical="center" wrapText="1"/>
    </xf>
    <xf numFmtId="49" fontId="28" fillId="0" borderId="3" xfId="0" applyNumberFormat="1" applyFont="1" applyBorder="1" applyAlignment="1">
      <alignment vertical="center" wrapText="1"/>
    </xf>
    <xf numFmtId="49" fontId="29" fillId="0" borderId="3" xfId="0" applyNumberFormat="1" applyFont="1" applyBorder="1" applyAlignment="1">
      <alignment vertical="center" wrapText="1"/>
    </xf>
    <xf numFmtId="49" fontId="3" fillId="0" borderId="3" xfId="0" applyNumberFormat="1" applyFont="1" applyBorder="1" applyAlignment="1">
      <alignment horizontal="left" vertical="center" wrapText="1"/>
    </xf>
    <xf numFmtId="0" fontId="27" fillId="0" borderId="0" xfId="0" applyFont="1" applyAlignment="1">
      <alignment vertical="center"/>
    </xf>
    <xf numFmtId="49" fontId="28" fillId="0" borderId="16" xfId="0" applyNumberFormat="1" applyFont="1" applyBorder="1" applyAlignment="1">
      <alignment vertical="center" wrapText="1"/>
    </xf>
    <xf numFmtId="0" fontId="3" fillId="0" borderId="15" xfId="0" applyFont="1" applyBorder="1" applyAlignment="1">
      <alignment horizontal="center" vertical="center" wrapText="1"/>
    </xf>
    <xf numFmtId="49" fontId="3" fillId="0" borderId="15" xfId="0" applyNumberFormat="1" applyFont="1" applyBorder="1" applyAlignment="1">
      <alignment horizontal="left" vertical="center" wrapText="1"/>
    </xf>
    <xf numFmtId="0" fontId="3" fillId="0" borderId="3" xfId="0" applyFont="1" applyBorder="1" applyAlignment="1">
      <alignment horizontal="center" vertical="center" wrapText="1"/>
    </xf>
    <xf numFmtId="0" fontId="30" fillId="0" borderId="3" xfId="0" applyFont="1" applyBorder="1" applyAlignment="1">
      <alignment vertical="center" wrapText="1"/>
    </xf>
    <xf numFmtId="0" fontId="3" fillId="0" borderId="16" xfId="0" applyFont="1" applyBorder="1" applyAlignment="1">
      <alignment horizontal="center" vertical="center" wrapText="1"/>
    </xf>
    <xf numFmtId="49" fontId="3" fillId="0" borderId="16" xfId="0" applyNumberFormat="1" applyFont="1" applyBorder="1" applyAlignment="1">
      <alignment horizontal="left" vertical="center" wrapText="1"/>
    </xf>
    <xf numFmtId="0" fontId="31" fillId="0" borderId="0" xfId="0" applyFont="1" applyAlignment="1">
      <alignment vertical="center"/>
    </xf>
    <xf numFmtId="0" fontId="32" fillId="0" borderId="0" xfId="0" applyFont="1" applyAlignment="1">
      <alignment vertical="center"/>
    </xf>
    <xf numFmtId="0" fontId="32" fillId="0" borderId="0" xfId="0" applyFont="1" applyAlignment="1">
      <alignment horizontal="left" vertical="center" indent="1"/>
    </xf>
    <xf numFmtId="0" fontId="33" fillId="0" borderId="0" xfId="0" applyFont="1" applyAlignment="1">
      <alignment vertical="center"/>
    </xf>
    <xf numFmtId="0" fontId="34" fillId="0" borderId="0" xfId="0" applyFont="1"/>
    <xf numFmtId="0" fontId="35" fillId="0" borderId="0" xfId="0" applyFont="1" applyAlignment="1">
      <alignment vertical="center"/>
    </xf>
    <xf numFmtId="49" fontId="22" fillId="15" borderId="14" xfId="0" applyNumberFormat="1" applyFont="1" applyFill="1" applyBorder="1" applyAlignment="1">
      <alignment vertical="center" wrapText="1"/>
    </xf>
    <xf numFmtId="49" fontId="29" fillId="0" borderId="0" xfId="0" applyNumberFormat="1" applyFont="1" applyAlignment="1">
      <alignment horizontal="right"/>
    </xf>
    <xf numFmtId="1" fontId="23" fillId="15" borderId="0" xfId="0" applyNumberFormat="1" applyFont="1" applyFill="1" applyAlignment="1">
      <alignment horizontal="center" vertical="center" wrapText="1"/>
    </xf>
    <xf numFmtId="0" fontId="28" fillId="5" borderId="3"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8" fillId="7" borderId="3" xfId="0" applyFont="1" applyFill="1" applyBorder="1" applyAlignment="1">
      <alignment horizontal="center" vertical="center" wrapText="1"/>
    </xf>
    <xf numFmtId="0" fontId="28" fillId="8" borderId="3"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28" fillId="10" borderId="3" xfId="0" applyFont="1" applyFill="1" applyBorder="1" applyAlignment="1">
      <alignment horizontal="center" vertical="center" wrapText="1"/>
    </xf>
    <xf numFmtId="49" fontId="28" fillId="11" borderId="3" xfId="0" applyNumberFormat="1" applyFont="1" applyFill="1" applyBorder="1" applyAlignment="1">
      <alignment horizontal="center" vertical="center" wrapText="1"/>
    </xf>
    <xf numFmtId="49" fontId="28" fillId="12" borderId="3" xfId="0" applyNumberFormat="1" applyFont="1" applyFill="1" applyBorder="1" applyAlignment="1">
      <alignment horizontal="center" vertical="center" wrapText="1"/>
    </xf>
    <xf numFmtId="0" fontId="28" fillId="13" borderId="3" xfId="0" applyFont="1" applyFill="1" applyBorder="1" applyAlignment="1">
      <alignment horizontal="center" vertical="center" wrapText="1"/>
    </xf>
    <xf numFmtId="49" fontId="29"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cellXfs>
  <cellStyles count="4">
    <cellStyle name="Migliaia 2" xfId="2" xr:uid="{94DF421C-8DF2-4D4A-AF1C-012B2679965C}"/>
    <cellStyle name="Normal 2" xfId="1" xr:uid="{12EE0EC0-1D00-4522-879C-6E6546790C6B}"/>
    <cellStyle name="Normale" xfId="0" builtinId="0"/>
    <cellStyle name="Percentuale" xfId="3" builtinId="5"/>
  </cellStyles>
  <dxfs count="448">
    <dxf>
      <numFmt numFmtId="164" formatCode="#,##0.00\ &quot;€&quot;"/>
      <fill>
        <patternFill>
          <fgColor indexed="64"/>
          <bgColor theme="0"/>
        </patternFill>
      </fill>
      <alignment horizontal="general" vertical="center" textRotation="0" indent="0" justifyLastLine="0" shrinkToFit="0" readingOrder="0"/>
      <border diagonalUp="0" diagonalDown="0" outline="0">
        <left style="thin">
          <color indexed="64"/>
        </left>
        <right/>
        <top style="thin">
          <color indexed="64"/>
        </top>
        <bottom style="thin">
          <color indexed="64"/>
        </bottom>
      </border>
    </dxf>
    <dxf>
      <fill>
        <patternFill>
          <fgColor indexed="64"/>
          <bgColor theme="0"/>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dxf>
    <dxf>
      <border>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64" formatCode="#,##0.00\ &quot;€&quot;"/>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rgb="FF000000"/>
          <bgColor auto="1"/>
        </patternFill>
      </fill>
      <border diagonalUp="0" diagonalDown="0">
        <left style="thin">
          <color rgb="FF000000"/>
        </left>
        <right style="thin">
          <color rgb="FF000000"/>
        </right>
        <top/>
        <bottom/>
        <vertical style="thin">
          <color rgb="FF000000"/>
        </vertical>
        <horizontal/>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vertical="center" textRotation="0" wrapText="1" indent="0" justifyLastLine="0" shrinkToFit="0" readingOrder="0"/>
    </dxf>
    <dxf>
      <border>
        <bottom style="thin">
          <color rgb="FF000000"/>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164" formatCode="#,##0.00\ &quot;€&quot;"/>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rgb="FF000000"/>
          <bgColor auto="1"/>
        </patternFill>
      </fill>
      <border diagonalUp="0" diagonalDown="0">
        <left style="thin">
          <color rgb="FF000000"/>
        </left>
        <right style="thin">
          <color rgb="FF000000"/>
        </right>
        <top/>
        <bottom/>
        <vertical style="thin">
          <color rgb="FF000000"/>
        </vertical>
        <horizontal/>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vertical="center" textRotation="0" wrapText="1" indent="0" justifyLastLine="0" shrinkToFit="0" readingOrder="0"/>
    </dxf>
    <dxf>
      <border>
        <bottom style="thin">
          <color rgb="FF000000"/>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164" formatCode="#,##0.00\ &quot;€&quot;"/>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rgb="FF000000"/>
          <bgColor auto="1"/>
        </patternFill>
      </fill>
      <border diagonalUp="0" diagonalDown="0">
        <left style="thin">
          <color rgb="FF000000"/>
        </left>
        <right style="thin">
          <color rgb="FF000000"/>
        </right>
        <top/>
        <bottom/>
        <vertical style="thin">
          <color rgb="FF000000"/>
        </vertical>
        <horizontal/>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vertical="center" textRotation="0" wrapText="1" indent="0" justifyLastLine="0" shrinkToFit="0" readingOrder="0"/>
    </dxf>
    <dxf>
      <border>
        <bottom style="thin">
          <color rgb="FF000000"/>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164" formatCode="#,##0.00\ &quot;€&quot;"/>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rgb="FF000000"/>
          <bgColor auto="1"/>
        </patternFill>
      </fill>
      <border diagonalUp="0" diagonalDown="0">
        <left style="thin">
          <color rgb="FF000000"/>
        </left>
        <right style="thin">
          <color rgb="FF000000"/>
        </right>
        <top/>
        <bottom/>
        <vertical style="thin">
          <color rgb="FF000000"/>
        </vertical>
        <horizontal/>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vertical="center" textRotation="0" wrapText="1" indent="0" justifyLastLine="0" shrinkToFit="0" readingOrder="0"/>
    </dxf>
    <dxf>
      <border>
        <bottom style="thin">
          <color rgb="FF000000"/>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164" formatCode="#,##0.00\ &quot;€&quot;"/>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rgb="FF000000"/>
          <bgColor auto="1"/>
        </patternFill>
      </fill>
      <border diagonalUp="0" diagonalDown="0">
        <left style="thin">
          <color rgb="FF000000"/>
        </left>
        <right style="thin">
          <color rgb="FF000000"/>
        </right>
        <top/>
        <bottom/>
        <vertical style="thin">
          <color rgb="FF000000"/>
        </vertical>
        <horizontal/>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vertical="center" textRotation="0" wrapText="1" indent="0" justifyLastLine="0" shrinkToFit="0" readingOrder="0"/>
    </dxf>
    <dxf>
      <border>
        <bottom style="thin">
          <color rgb="FF000000"/>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34" formatCode="_-* #,##0.00\ &quot;€&quot;_-;\-* #,##0.00\ &quot;€&quot;_-;_-* &quot;-&quot;??\ &quot;€&quot;_-;_-@_-"/>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medium">
          <color rgb="FF000000"/>
        </top>
      </border>
    </dxf>
    <dxf>
      <fill>
        <patternFill patternType="none">
          <fgColor rgb="FF000000"/>
          <bgColor auto="1"/>
        </patternFill>
      </fill>
      <border diagonalUp="0" diagonalDown="0">
        <left style="thin">
          <color rgb="FF000000"/>
        </left>
        <right style="thin">
          <color rgb="FF000000"/>
        </right>
        <top/>
        <bottom/>
        <vertical style="thin">
          <color rgb="FF000000"/>
        </vertical>
        <horizontal/>
      </border>
    </dxf>
    <dxf>
      <border diagonalUp="0" diagonalDown="0">
        <left style="thin">
          <color rgb="FF000000"/>
        </left>
        <right style="thin">
          <color rgb="FF000000"/>
        </right>
        <top style="thin">
          <color rgb="FF000000"/>
        </top>
        <bottom style="thin">
          <color rgb="FF000000"/>
        </bottom>
      </border>
    </dxf>
    <dxf>
      <fill>
        <patternFill patternType="none">
          <fgColor rgb="FF000000"/>
          <bgColor auto="1"/>
        </patternFill>
      </fill>
      <alignment vertical="center" textRotation="0" wrapText="1" indent="0" justifyLastLine="0" shrinkToFit="0" readingOrder="0"/>
    </dxf>
    <dxf>
      <border>
        <bottom style="thin">
          <color rgb="FF000000"/>
        </bottom>
      </border>
    </dxf>
    <dxf>
      <font>
        <strike val="0"/>
        <outline val="0"/>
        <shadow val="0"/>
        <u val="none"/>
        <vertAlign val="baseline"/>
        <color theme="1"/>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34" formatCode="_-* #,##0.00\ &quot;€&quot;_-;\-* #,##0.00\ &quot;€&quot;_-;_-* &quot;-&quot;??\ &quot;€&quot;_-;_-@_-"/>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indexed="64"/>
          <bgColor auto="1"/>
        </patternFill>
      </fill>
      <border diagonalUp="0" diagonalDown="0" outline="0">
        <left style="thin">
          <color rgb="FF000000"/>
        </left>
        <right style="thin">
          <color rgb="FF000000"/>
        </right>
        <top/>
        <bottom/>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alignment vertical="center" textRotation="0" wrapText="1" indent="0" justifyLastLine="0" shrinkToFit="0" readingOrder="0"/>
    </dxf>
    <dxf>
      <border>
        <bottom style="thin">
          <color rgb="FF000000"/>
        </bottom>
      </border>
    </dxf>
    <dxf>
      <font>
        <strike val="0"/>
        <outline val="0"/>
        <shadow val="0"/>
        <u val="none"/>
        <vertAlign val="baseline"/>
        <color theme="1"/>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indexed="64"/>
          <bgColor auto="1"/>
        </patternFill>
      </fill>
      <border diagonalUp="0" diagonalDown="0" outline="0">
        <left style="thin">
          <color rgb="FF000000"/>
        </left>
        <right style="thin">
          <color rgb="FF000000"/>
        </right>
        <top/>
        <bottom/>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alignment vertical="center" textRotation="0" wrapText="1" indent="0" justifyLastLine="0" shrinkToFit="0" readingOrder="0"/>
    </dxf>
    <dxf>
      <border>
        <bottom style="thin">
          <color rgb="FF000000"/>
        </bottom>
      </border>
    </dxf>
    <dxf>
      <font>
        <strike val="0"/>
        <outline val="0"/>
        <shadow val="0"/>
        <u val="none"/>
        <vertAlign val="baseline"/>
        <color theme="1"/>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numFmt numFmtId="34" formatCode="_-* #,##0.00\ &quot;€&quot;_-;\-* #,##0.00\ &quot;€&quot;_-;_-* &quot;-&quot;??\ &quot;€&quot;_-;_-@_-"/>
      <alignment horizontal="general" vertical="center" textRotation="0" wrapText="1" indent="0" justifyLastLine="0" shrinkToFit="0" readingOrder="0"/>
      <border diagonalUp="0" diagonalDown="0" outline="0">
        <left style="thin">
          <color indexed="64"/>
        </left>
        <right style="medium">
          <color indexed="64"/>
        </right>
        <top/>
        <bottom style="medium">
          <color indexed="64"/>
        </bottom>
      </border>
    </dxf>
    <dxf>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164" formatCode="#,##0.00\ &quot;€&quo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0\ &quot;€&quot;"/>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numFmt numFmtId="164" formatCode="#,##0.00\ &quot;€&quo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style="medium">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rgb="FF000000"/>
        </top>
      </border>
    </dxf>
    <dxf>
      <fill>
        <patternFill patternType="none">
          <fgColor indexed="64"/>
          <bgColor auto="1"/>
        </patternFill>
      </fill>
      <border diagonalUp="0" diagonalDown="0" outline="0">
        <left style="thin">
          <color rgb="FF000000"/>
        </left>
        <right style="thin">
          <color rgb="FF000000"/>
        </right>
        <top/>
        <bottom/>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alignment vertical="center" textRotation="0" wrapText="1" indent="0" justifyLastLine="0" shrinkToFit="0" readingOrder="0"/>
    </dxf>
    <dxf>
      <border>
        <bottom style="thin">
          <color rgb="FF000000"/>
        </bottom>
      </border>
    </dxf>
    <dxf>
      <font>
        <strike val="0"/>
        <outline val="0"/>
        <shadow val="0"/>
        <u val="none"/>
        <vertAlign val="baseline"/>
        <color theme="1"/>
      </font>
      <fill>
        <patternFill patternType="none">
          <fgColor indexed="64"/>
          <bgColor auto="1"/>
        </patternFill>
      </fill>
      <alignment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val="0"/>
        <i val="0"/>
        <strike val="0"/>
        <condense val="0"/>
        <extend val="0"/>
        <outline val="0"/>
        <shadow val="0"/>
        <u val="none"/>
        <vertAlign val="baseline"/>
        <sz val="11"/>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numFmt numFmtId="30" formatCode="@"/>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medium">
          <color indexed="64"/>
        </left>
        <right style="thin">
          <color indexed="64"/>
        </right>
        <top/>
        <bottom style="medium">
          <color indexed="64"/>
        </bottom>
      </border>
    </dxf>
    <dxf>
      <font>
        <b/>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strike val="0"/>
        <outline val="0"/>
        <shadow val="0"/>
        <u val="none"/>
        <vertAlign val="baseline"/>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medium">
          <color indexed="64"/>
        </top>
      </border>
    </dxf>
    <dxf>
      <fill>
        <patternFill patternType="none">
          <fgColor indexed="64"/>
          <bgColor auto="1"/>
        </patternFill>
      </fill>
      <border diagonalUp="0" diagonalDown="0">
        <left style="thin">
          <color indexed="64"/>
        </left>
        <right style="thin">
          <color indexed="64"/>
        </right>
        <top/>
        <bottom/>
        <vertical style="thin">
          <color indexed="64"/>
        </vertical>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none">
          <fgColor indexed="64"/>
          <bgColor auto="1"/>
        </patternFill>
      </fill>
      <alignment vertical="center" textRotation="0" wrapText="1" indent="0" justifyLastLine="0" shrinkToFit="0" readingOrder="0"/>
    </dxf>
    <dxf>
      <border>
        <bottom style="thin">
          <color indexed="64"/>
        </bottom>
      </border>
    </dxf>
    <dxf>
      <font>
        <strike val="0"/>
        <outline val="0"/>
        <shadow val="0"/>
        <u val="none"/>
        <vertAlign val="baseline"/>
        <name val="Arial"/>
        <family val="2"/>
        <scheme val="none"/>
      </font>
      <fill>
        <patternFill patternType="solid">
          <fgColor indexed="64"/>
          <bgColor theme="8" tint="0.39997558519241921"/>
        </patternFill>
      </fill>
      <alignmen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E0AAB9F-93AD-4D64-804D-66E2D8B1F088}" name="Tabella28" displayName="Tabella28" ref="A1:I165" totalsRowShown="0" headerRowDxfId="447" dataDxfId="445" totalsRowDxfId="443" headerRowBorderDxfId="446" tableBorderDxfId="444" totalsRowBorderDxfId="442">
  <autoFilter ref="A1:I165" xr:uid="{33DAB39D-4E16-496D-81AE-A4D2E44F16BB}"/>
  <tableColumns count="9">
    <tableColumn id="1" xr3:uid="{36F921D7-A8D9-4502-B418-DD8A0FDA9237}" name="Tipologia" dataDxfId="441" totalsRowDxfId="440"/>
    <tableColumn id="29" xr3:uid="{B3801A74-7399-4F1F-B9A3-54CF0649F7EE}" name="ID Macrocategoria" dataDxfId="439" totalsRowDxfId="438"/>
    <tableColumn id="18" xr3:uid="{F17F2482-3EC4-4173-A66F-F509041762E8}" name="Macrocategoria" dataDxfId="437" totalsRowDxfId="436"/>
    <tableColumn id="19" xr3:uid="{2AE5F8A6-C7A1-4028-A8A4-FE103B079C7B}" name="Categoria_x000a_(descrizione sintetica)" dataDxfId="435" totalsRowDxfId="434"/>
    <tableColumn id="2" xr3:uid="{635BCAE8-A666-404B-A303-BE7BEF73B4E5}" name="Definizione Requisiti Minimi" dataDxfId="433"/>
    <tableColumn id="3" xr3:uid="{A2A197D5-49EC-4507-8C8B-67B69F0F93C0}" name="Si riscontrano criticità nella definizione requisiti minimi?_x000a_(In caso di risposta affermativa, argomentare con eventuali motivazioni)" dataDxfId="432"/>
    <tableColumn id="11" xr3:uid="{0BA3A67E-70A4-425C-91B1-06124C2DEF31}" name="Kit minimo _x000a_(compreso nel prezzo)" dataDxfId="431" totalsRowDxfId="430"/>
    <tableColumn id="30" xr3:uid="{F6C7E5BC-5420-48D8-A6D1-8670B4F2A6FA}" name="E' possibile fornire tutti gli elementi indicati nel Kit minimo?_x000a_(In caso di risposta negativa, argomentare con eventuali motivazioni)" dataDxfId="429"/>
    <tableColumn id="31" xr3:uid="{2DA00409-9EB6-4B06-B3FF-F16FC58551E7}" name="Prezzo di mercato della categoria_x000a_(Considerato come il prezzo del kit minimo comprendente il modello da voi offerto più costoso)" dataDxfId="428" totalsRowDxfId="42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38E14F4-36A0-4AFA-A429-EF7300C9DDFF}" name="Tabella2813" displayName="Tabella2813" ref="A1:T19" totalsRowCount="1" headerRowDxfId="58" dataDxfId="56" totalsRowDxfId="54" headerRowBorderDxfId="57" tableBorderDxfId="55" totalsRowBorderDxfId="53">
  <autoFilter ref="A1:T18" xr:uid="{33DAB39D-4E16-496D-81AE-A4D2E44F16BB}"/>
  <tableColumns count="20">
    <tableColumn id="1" xr3:uid="{9A19783B-548B-4030-9532-CCFD9296C6E0}" name="Lotto" dataDxfId="52" totalsRowDxfId="51"/>
    <tableColumn id="13" xr3:uid="{A7310DE1-AA6F-4532-8766-C2CD4A6DC56C}" name="ID" dataDxfId="50" totalsRowDxfId="49"/>
    <tableColumn id="18" xr3:uid="{CF88BCCC-9560-4D8C-BB35-00F234D2C073}" name="Vincoli di offerta tra categorie/lotti" dataDxfId="48" totalsRowDxfId="47"/>
    <tableColumn id="19" xr3:uid="{E09FDABE-BC96-44B8-8042-4E76A17FED87}" name="Categoria (descrizione semplice)" dataDxfId="46" totalsRowDxfId="45"/>
    <tableColumn id="20" xr3:uid="{85875CDD-9D31-47E3-BCC8-A3E462B77B7C}" name="Descrizione e requisiti minimi" dataDxfId="44" totalsRowDxfId="43"/>
    <tableColumn id="14" xr3:uid="{E57D6570-F08B-4FFC-A73A-C4F8E1F505EB}" name="Ulteriori requisiti minimi" dataDxfId="42" totalsRowDxfId="41"/>
    <tableColumn id="16" xr3:uid="{EC3E2674-9834-4955-A267-951C8B28A00B}" name="Norme tecniche richieste" dataDxfId="40" totalsRowDxfId="39"/>
    <tableColumn id="17" xr3:uid="{7DFC014D-EFB7-4F8A-A729-BE8D3F290D1C}" name="Ulteriori elementi premianti" dataDxfId="38" totalsRowDxfId="37"/>
    <tableColumn id="11" xr3:uid="{B08E3309-C0A9-48E9-8966-80D233B866A0}" name="Componenti protesici tipo (kit)" dataDxfId="36" totalsRowDxfId="35"/>
    <tableColumn id="3" xr3:uid="{AD5B746B-D9EF-4F7B-BD5E-90817E8C3F4E}" name="Campione richiesto (sì/no/a richiesta)" dataDxfId="34" totalsRowDxfId="33"/>
    <tableColumn id="2" xr3:uid="{BFFB3B05-922C-43AF-A7A4-DC3EC12AB9FD}" name="Numero massimo aggiundicatari massimi" dataDxfId="32" totalsRowDxfId="31"/>
    <tableColumn id="4" xr3:uid="{D240B133-2B67-40FB-8587-D6668863F90C}" name="Consumo stimato" dataDxfId="30" totalsRowDxfId="29"/>
    <tableColumn id="5" xr3:uid="{EE41EE95-BB74-4FAE-81F3-A3A5DD3721A1}" name="Fabbisogno 12 mesi" dataDxfId="28" totalsRowDxfId="27"/>
    <tableColumn id="6" xr3:uid="{8F2CA635-D324-48F4-AACF-FC0591ED07C9}" name="Fabbisogno 48 mesi" dataDxfId="26" totalsRowDxfId="25"/>
    <tableColumn id="7" xr3:uid="{E4B52DE5-D932-420D-BEF1-75F215853B5D}" name="Prezzo unitario base d'asta (costo+15%)" dataDxfId="24" totalsRowDxfId="23"/>
    <tableColumn id="15" xr3:uid="{4666D921-535B-4AF4-951F-55965BE759E4}" name="Prezzo unitario a base d'asta " dataDxfId="22" totalsRowDxfId="21"/>
    <tableColumn id="8" xr3:uid="{CB6B85A6-3978-4CE2-BD7E-504CF46E28CB}" name="Importo 48 mesi" dataDxfId="20" totalsRowDxfId="19">
      <calculatedColumnFormula>N2*P2</calculatedColumnFormula>
    </tableColumn>
    <tableColumn id="10" xr3:uid="{8603F527-80BC-4053-96F7-398CBA47E00C}" name="Importo stimato per ricambi" dataDxfId="18" totalsRowDxfId="17"/>
    <tableColumn id="12" xr3:uid="{E51191D2-C959-4FE4-B6A0-D417693E2C1C}" name="Importo gara" dataDxfId="16" totalsRowDxfId="15"/>
    <tableColumn id="9" xr3:uid="{53CAB235-3E3A-4EF0-915C-47E3163B57E7}" name="Importo stimato per lotto" totalsRowFunction="custom" dataDxfId="14" totalsRowDxfId="13">
      <totalsRowFormula>SUM(Tabella2813[Importo stimato per lotto])</totalsRow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F1A36E-DCB2-443B-9BCF-9EE8F8D6938A}" name="Tabella1" displayName="Tabella1" ref="A2:H88" totalsRowShown="0" headerRowDxfId="12" dataDxfId="10" headerRowBorderDxfId="11" tableBorderDxfId="9" totalsRowBorderDxfId="8">
  <autoFilter ref="A2:H88" xr:uid="{F3F1A36E-DCB2-443B-9BCF-9EE8F8D6938A}"/>
  <tableColumns count="8">
    <tableColumn id="1" xr3:uid="{255BADEE-6390-402E-8C8F-408DEB5A83BF}" name="Lotto" dataDxfId="7"/>
    <tableColumn id="2" xr3:uid="{6489ADAE-388D-4744-A0D9-861A0F32B3A3}" name="Raggruppamento" dataDxfId="6"/>
    <tableColumn id="3" xr3:uid="{04C85449-9EA7-4D9C-A709-7E11DA4F62FA}" name="Oggetto" dataDxfId="5"/>
    <tableColumn id="4" xr3:uid="{EB1C5B99-2D5B-42AE-A25F-97C1E7DE2A07}" name="Descrizione" dataDxfId="4"/>
    <tableColumn id="5" xr3:uid="{CC5B47CA-40D3-44EC-9A12-86365D1E43E7}" name="Prodotti di riferimento" dataDxfId="3"/>
    <tableColumn id="6" xr3:uid="{83AE8C05-EF78-46A8-B4C1-9028DAABBE14}" name="Impianto Tipo" dataDxfId="2"/>
    <tableColumn id="7" xr3:uid="{808EF89F-71C1-4EC1-8AC4-648C4C807991}" name="Fabbisogno 48 mesi" dataDxfId="1"/>
    <tableColumn id="8" xr3:uid="{EF516DC3-8B70-49BD-9BD6-262C82786D10}" name="Prezzo unitario a base d'asta"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B1CBC25-526E-4063-9B9A-AE4E3D5452F1}" name="Tabella2567" displayName="Tabella2567" ref="A1:T23" totalsRowCount="1" headerRowDxfId="426" dataDxfId="424" totalsRowDxfId="422" headerRowBorderDxfId="425" tableBorderDxfId="423" totalsRowBorderDxfId="421">
  <autoFilter ref="A1:T22" xr:uid="{33DAB39D-4E16-496D-81AE-A4D2E44F16BB}"/>
  <tableColumns count="20">
    <tableColumn id="1" xr3:uid="{C720B1F1-699C-4D2D-B30D-A5B13F9F9949}" name="Lotto" dataDxfId="420" totalsRowDxfId="419"/>
    <tableColumn id="13" xr3:uid="{B0E83D52-EC53-4C84-B9D4-923236D9D9A1}" name="Categoria (ID)" dataDxfId="418" totalsRowDxfId="417"/>
    <tableColumn id="20" xr3:uid="{5A07E64F-CC73-4A94-ABF1-AAC83ADB22ED}" name="Vincoli di offerta tra categorie/lotti" dataDxfId="416" totalsRowDxfId="415"/>
    <tableColumn id="2" xr3:uid="{CBED99D8-0F9A-408C-BCEC-6CF8A3691D1C}" name="Categoria (descrizione semplica)" dataDxfId="414" totalsRowDxfId="413"/>
    <tableColumn id="3" xr3:uid="{E59CDE45-38CD-4EC4-9656-0E63865951A6}" name="Descrizione e requisiti minimi" dataDxfId="412" totalsRowDxfId="411"/>
    <tableColumn id="21" xr3:uid="{1D088D94-1A72-46F6-9A52-1A16FB10F1A8}" name="Ulteriori requesiti minimi " dataDxfId="410" totalsRowDxfId="409"/>
    <tableColumn id="11" xr3:uid="{FD36E235-41BE-4463-AB6D-9E95482FFB3A}" name="Norme tecniche richieste" dataDxfId="408" totalsRowDxfId="407"/>
    <tableColumn id="22" xr3:uid="{B3B2446D-D74C-43B0-9368-7B2621B6CFCB}" name="Ulteriori elementi premianti" dataDxfId="406" totalsRowDxfId="405"/>
    <tableColumn id="25" xr3:uid="{84C7C59B-3C01-47CC-8D23-585DEF1E3DAD}" name="Componenti protesici tipo (kit)" dataDxfId="404" totalsRowDxfId="403"/>
    <tableColumn id="17" xr3:uid="{7969B3DB-46BE-4CA9-AAEB-5D0E1FA6410A}" name="Campione richiesto (sì/no/a richiesta)" dataDxfId="402" totalsRowDxfId="401"/>
    <tableColumn id="18" xr3:uid="{31966743-E733-4F18-93A1-8567BF2613E5}" name="Numero massimo aggiundicatari massimi" dataDxfId="400" totalsRowDxfId="399"/>
    <tableColumn id="4" xr3:uid="{BD3A0CD8-054F-481F-BB2D-141E8788832D}" name="Consumo stimato" dataDxfId="398" totalsRowDxfId="397"/>
    <tableColumn id="5" xr3:uid="{8DB0340A-6FE1-4FFF-9872-FD3AB3B4DA4E}" name="Fabbisogno 12 mesi" dataDxfId="396" totalsRowDxfId="395"/>
    <tableColumn id="6" xr3:uid="{AF716F73-411F-478D-83F6-76B3BB9FB523}" name="Fabbisogno 48 mesi" dataDxfId="394" totalsRowDxfId="393"/>
    <tableColumn id="7" xr3:uid="{EE4D76E5-5B96-421A-8494-C023D2B3C6C1}" name="Prezzo unitario base d'asta (costo+15%)" dataDxfId="392" totalsRowDxfId="391"/>
    <tableColumn id="15" xr3:uid="{A2272F27-51FF-478C-A30A-99E5A1476658}" name="Prezzo unitario a base d'asta " dataDxfId="390" totalsRowDxfId="389"/>
    <tableColumn id="8" xr3:uid="{4EAD58E2-E542-4AFA-B531-95F4CF2D3B2C}" name="Importo 48 mesi" dataDxfId="388" totalsRowDxfId="387">
      <calculatedColumnFormula>N2*P2</calculatedColumnFormula>
    </tableColumn>
    <tableColumn id="10" xr3:uid="{75F2CB5B-766D-4501-856D-29565F484292}" name="Importo stimato per ricambi" dataDxfId="386" totalsRowDxfId="385"/>
    <tableColumn id="12" xr3:uid="{CE7AA618-343B-4E46-871F-E536242ECD6F}" name="Importo gara" dataDxfId="384" totalsRowDxfId="383">
      <calculatedColumnFormula>Tabella2567[[#This Row],[Importo 48 mesi]]+Tabella2567[[#This Row],[Importo stimato per ricambi]]</calculatedColumnFormula>
    </tableColumn>
    <tableColumn id="9" xr3:uid="{C321E8B1-53AF-4758-B1F7-4BE83F0E30AD}" name="Importo stimato per lotto" totalsRowFunction="custom" dataDxfId="382" totalsRowDxfId="381">
      <totalsRowFormula>SUM(Tabella2567[Importo stimato per lotto])</totalsRow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7FA909-9C2B-475C-B7B7-3D37765608DB}" name="Tabella256" displayName="Tabella256" ref="A1:T6" totalsRowCount="1" headerRowDxfId="380" dataDxfId="378" totalsRowDxfId="376" headerRowBorderDxfId="379" tableBorderDxfId="377" totalsRowBorderDxfId="375">
  <autoFilter ref="A1:T5" xr:uid="{33DAB39D-4E16-496D-81AE-A4D2E44F16BB}"/>
  <tableColumns count="20">
    <tableColumn id="1" xr3:uid="{6A66B03F-11FF-4E54-BF0A-FF30BD20E8B6}" name="Lotto" dataDxfId="374" totalsRowDxfId="373"/>
    <tableColumn id="13" xr3:uid="{7461FA86-17A6-43BC-8044-4F0BF1BE1061}" name="Categoria (ID)" dataDxfId="372" totalsRowDxfId="371"/>
    <tableColumn id="20" xr3:uid="{4CE7BA16-8E0D-49A9-A068-328A1D14BDE1}" name="Vincoli di offerta tra categorie/lotti" dataDxfId="370" totalsRowDxfId="369"/>
    <tableColumn id="2" xr3:uid="{94E705F9-A0B5-4E76-B791-60849D84F635}" name="Categoria (descrizione semplica)" dataDxfId="368" totalsRowDxfId="367"/>
    <tableColumn id="3" xr3:uid="{538190C2-30D7-45E5-8604-C747B032996C}" name="Descrizione e requisiti minimi" dataDxfId="366" totalsRowDxfId="365"/>
    <tableColumn id="21" xr3:uid="{FC19BA68-4D2D-4F19-A9DC-6A1520441AF5}" name="Ulteriori requesiti minimi " dataDxfId="364" totalsRowDxfId="363"/>
    <tableColumn id="11" xr3:uid="{C610679E-1029-4E64-9770-712E24E93B1B}" name="Norme tecniche richieste" dataDxfId="362" totalsRowDxfId="361"/>
    <tableColumn id="22" xr3:uid="{E8C00838-6968-4968-B3BE-313C7BB74B4C}" name="Ulteriori elementi premianti" dataDxfId="360" totalsRowDxfId="359"/>
    <tableColumn id="25" xr3:uid="{25F15790-003C-48EB-A741-DED9A82CB11A}" name="Componenti protesici tipo (kit)" dataDxfId="358" totalsRowDxfId="357"/>
    <tableColumn id="17" xr3:uid="{3E226B68-65C8-4E75-A3F1-FE6AEAA5B83D}" name="Campione richiesto (sì/no/a richiesta)" dataDxfId="356" totalsRowDxfId="355"/>
    <tableColumn id="18" xr3:uid="{B705EB6D-8522-4759-8E97-752412DF7A82}" name="Numero massimo aggiundicatari massimi" dataDxfId="354" totalsRowDxfId="353"/>
    <tableColumn id="4" xr3:uid="{9C52F7C9-733C-4D7B-A8FA-9BE7F6E1D78F}" name="Consumo stimato" dataDxfId="352" totalsRowDxfId="351"/>
    <tableColumn id="5" xr3:uid="{54A8AE82-9737-46CF-AB76-8C2EB7A6E33E}" name="Fabbisogno 12 mesi" dataDxfId="350" totalsRowDxfId="349"/>
    <tableColumn id="6" xr3:uid="{69A5BB30-1600-4948-9405-153BCC7E38C9}" name="Fabbisogno 48 mesi" dataDxfId="348" totalsRowDxfId="347"/>
    <tableColumn id="7" xr3:uid="{E10C391E-E7A3-4EBD-A5B6-07DCF9E716EA}" name="Prezzo unitario base d'asta (costo+15%)" dataDxfId="346" totalsRowDxfId="345"/>
    <tableColumn id="15" xr3:uid="{EEC38B3B-B0D7-479A-9A69-3C334314945C}" name="Prezzo unitario a base d'asta " dataDxfId="344" totalsRowDxfId="343"/>
    <tableColumn id="8" xr3:uid="{722BD347-4C44-4FC5-89FC-75926E513D69}" name="Importo 48 mesi" dataDxfId="342" totalsRowDxfId="341">
      <calculatedColumnFormula>N2*P2</calculatedColumnFormula>
    </tableColumn>
    <tableColumn id="10" xr3:uid="{BB9145D0-002F-4E06-A26E-119C95C02C93}" name="Importo stimato per ricambi" dataDxfId="340" totalsRowDxfId="339"/>
    <tableColumn id="12" xr3:uid="{A146A3E1-EC7C-473E-B63E-08D463270F5F}" name="Importo gara" dataDxfId="338" totalsRowDxfId="337">
      <calculatedColumnFormula>Tabella256[[#This Row],[Importo 48 mesi]]+Tabella256[[#This Row],[Importo stimato per ricambi]]</calculatedColumnFormula>
    </tableColumn>
    <tableColumn id="9" xr3:uid="{99145CD8-0E82-4482-873A-BFA7F6B05F46}" name="Importo stimato per lotto" totalsRowFunction="custom" dataDxfId="336" totalsRowDxfId="335">
      <totalsRowFormula>SUM(Tabella256[Importo stimato per lotto])</totalsRow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7A0C5F-E55A-4CD0-AEBB-F6E7A6422307}" name="Tabella25" displayName="Tabella25" ref="A1:T21" totalsRowCount="1" headerRowDxfId="334" dataDxfId="332" totalsRowDxfId="330" headerRowBorderDxfId="333" tableBorderDxfId="331" totalsRowBorderDxfId="329">
  <autoFilter ref="A1:T20" xr:uid="{33DAB39D-4E16-496D-81AE-A4D2E44F16BB}"/>
  <tableColumns count="20">
    <tableColumn id="1" xr3:uid="{9551E99B-8D9A-4969-84F8-BA910032F6E3}" name="Lotto" dataDxfId="328" totalsRowDxfId="327"/>
    <tableColumn id="13" xr3:uid="{6266F93F-1CB5-40CD-B4BF-AABC595A5E8B}" name="Categoria (ID)" dataDxfId="326" totalsRowDxfId="325"/>
    <tableColumn id="20" xr3:uid="{224569E6-7932-4166-B5C1-22D4AE1856EC}" name="Vincoli di offerta tra categorie/lotti" dataDxfId="324" totalsRowDxfId="323"/>
    <tableColumn id="2" xr3:uid="{461F21DF-81E1-422C-B51B-0DE067233F8A}" name="Categoria (descrizione semplica)" dataDxfId="322" totalsRowDxfId="321"/>
    <tableColumn id="3" xr3:uid="{883877B7-E89B-4E0F-9C55-2C47E4CA98B3}" name="Descrizione e requisiti minimi" dataDxfId="320" totalsRowDxfId="319"/>
    <tableColumn id="21" xr3:uid="{44E28600-C468-4B24-9030-1A279AAD1113}" name="Ulteriori requesiti minimi " dataDxfId="318" totalsRowDxfId="317"/>
    <tableColumn id="11" xr3:uid="{D4D416B2-4BCD-4A68-B9EC-8AD93BA7B422}" name="Norme tecniche richieste" dataDxfId="316" totalsRowDxfId="315"/>
    <tableColumn id="22" xr3:uid="{363ACE4A-CADF-4337-9D38-C663E460651F}" name="Ulteriori elementi premianti" dataDxfId="314" totalsRowDxfId="313"/>
    <tableColumn id="25" xr3:uid="{B8753AEF-478D-408E-A7C2-6CA41A6FEF75}" name="Componenti protesici tipo (kit)" dataDxfId="312" totalsRowDxfId="311"/>
    <tableColumn id="17" xr3:uid="{EA1C3E8A-DAAA-43B8-A9E4-D9BF8378438C}" name="Campione richiesto (sì/no/a richiesta)" dataDxfId="310" totalsRowDxfId="309"/>
    <tableColumn id="18" xr3:uid="{7418C017-2C4D-450C-B3DC-75B0E88AE176}" name="Numero massimo aggiundicatari massimi" dataDxfId="308" totalsRowDxfId="307"/>
    <tableColumn id="4" xr3:uid="{BC8ADADA-C2CA-46C1-AE4A-82F5E490E3BE}" name="Consumo stimato" dataDxfId="306" totalsRowDxfId="305"/>
    <tableColumn id="5" xr3:uid="{DD99DC0F-FAB5-408E-95E9-3658ED842946}" name="Fabbisogno 12 mesi" dataDxfId="304" totalsRowDxfId="303"/>
    <tableColumn id="6" xr3:uid="{C53D5C87-7C88-417B-8534-C93CBF396912}" name="Fabbisogno 48 mesi" dataDxfId="302" totalsRowDxfId="301"/>
    <tableColumn id="7" xr3:uid="{EE25D518-A2AB-44E3-ADC1-0985508448E7}" name="Prezzo unitario base d'asta (costo+15%)" dataDxfId="300" totalsRowDxfId="299"/>
    <tableColumn id="15" xr3:uid="{64389A1A-B4AD-4159-8D94-ADCC2F7581D0}" name="Prezzo unitario a base d'asta " dataDxfId="298" totalsRowDxfId="297"/>
    <tableColumn id="8" xr3:uid="{2EF3B3D5-2D47-40EC-8A1E-F3F78AA3BA88}" name="Importo 48 mesi" dataDxfId="296" totalsRowDxfId="295">
      <calculatedColumnFormula>N2*P2</calculatedColumnFormula>
    </tableColumn>
    <tableColumn id="10" xr3:uid="{637664CE-83A4-4637-AEF0-723ED101ED06}" name="Importo stimato per ricambi" dataDxfId="294" totalsRowDxfId="293"/>
    <tableColumn id="12" xr3:uid="{7A234A8C-5140-463C-8882-A0BDA1B4F9C4}" name="Importo gara" dataDxfId="292" totalsRowDxfId="291">
      <calculatedColumnFormula>Tabella25[[#This Row],[Importo 48 mesi]]+Tabella25[[#This Row],[Importo stimato per ricambi]]</calculatedColumnFormula>
    </tableColumn>
    <tableColumn id="9" xr3:uid="{49081054-13E6-40A6-8820-A1409184D21F}" name="Importo stimato per lotto" totalsRowFunction="custom" dataDxfId="290" totalsRowDxfId="289">
      <totalsRowFormula>SUM(Tabella25[Importo stimato per lotto])</totalsRow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85E3749-CD73-442F-A1D8-9679584C8DEE}" name="Tabella24" displayName="Tabella24" ref="A1:T35" totalsRowCount="1" headerRowDxfId="288" dataDxfId="286" totalsRowDxfId="284" headerRowBorderDxfId="287" tableBorderDxfId="285" totalsRowBorderDxfId="283">
  <autoFilter ref="A1:T34" xr:uid="{33DAB39D-4E16-496D-81AE-A4D2E44F16BB}"/>
  <tableColumns count="20">
    <tableColumn id="1" xr3:uid="{D4B2CAD7-D281-4B29-BF69-E75EF64B715D}" name="Lotto" dataDxfId="282" totalsRowDxfId="281"/>
    <tableColumn id="13" xr3:uid="{48CA3CC3-9C0C-49A0-AC1A-336CE4539945}" name="Categoria (ID)" dataDxfId="280" totalsRowDxfId="279"/>
    <tableColumn id="20" xr3:uid="{9EEAA38D-86DF-4489-91AD-ACE45C48270E}" name="Vincoli di offerta tra categorie/lotti" dataDxfId="278" totalsRowDxfId="277"/>
    <tableColumn id="2" xr3:uid="{C56BE29A-1F05-49DE-A52C-393735A97895}" name="Categoria (descrizione semplica)" dataDxfId="276" totalsRowDxfId="275"/>
    <tableColumn id="3" xr3:uid="{094C92AF-3126-46A0-B1B7-42C1ADB2419A}" name="Descrizione e requisiti minimi" dataDxfId="274" totalsRowDxfId="273"/>
    <tableColumn id="21" xr3:uid="{E9B2290C-3BEC-4709-8250-599C32498A2C}" name="Ulteriori requesiti minimi " dataDxfId="272" totalsRowDxfId="271"/>
    <tableColumn id="11" xr3:uid="{5357D4D2-01D4-4DC6-951A-E03F271D5FC4}" name="Norme tecniche richieste" dataDxfId="270" totalsRowDxfId="269"/>
    <tableColumn id="22" xr3:uid="{F6F20F40-CE1D-42EF-B5C9-D148D507E50F}" name="Ulteriori elementi premianti" dataDxfId="268" totalsRowDxfId="267"/>
    <tableColumn id="25" xr3:uid="{539B4C4F-953A-401A-9E28-6302C5AF4D42}" name="Componenti protesici tipo (kit)" dataDxfId="266" totalsRowDxfId="265"/>
    <tableColumn id="17" xr3:uid="{B4EE5915-E100-4EA7-AEDA-59FB986430EC}" name="Campione richiesto (sì/no/a richiesta)" dataDxfId="264" totalsRowDxfId="263"/>
    <tableColumn id="18" xr3:uid="{94A0A5C3-F974-4919-BC49-78F71233ABE8}" name="Numero massimo aggiundicatari massimi" dataDxfId="262" totalsRowDxfId="261"/>
    <tableColumn id="4" xr3:uid="{35A8AB0B-48D7-4217-B062-7207814C2988}" name="Consumo stimato" dataDxfId="260" totalsRowDxfId="259"/>
    <tableColumn id="5" xr3:uid="{9C02DF91-A1CE-4F4A-A973-1B438312D315}" name="Fabbisogno 12 mesi" dataDxfId="258" totalsRowDxfId="257"/>
    <tableColumn id="6" xr3:uid="{0F55F20F-3B04-4A49-AC20-ADEFB5D0275B}" name="Fabbisogno 48 mesi" dataDxfId="256" totalsRowDxfId="255"/>
    <tableColumn id="7" xr3:uid="{725E3622-8724-4E41-B0B2-11970E62DBD7}" name="Prezzo unitario base d'asta (costo+15%)" dataDxfId="254" totalsRowDxfId="253"/>
    <tableColumn id="15" xr3:uid="{52E0AB92-F033-457D-89EC-A5BF458DB432}" name="Prezzo unitario a base d'asta " dataDxfId="252" totalsRowDxfId="251"/>
    <tableColumn id="8" xr3:uid="{3A5C5055-DB40-4762-BE6A-F2B724DDE5BA}" name="Importo 48 mesi" dataDxfId="250" totalsRowDxfId="249">
      <calculatedColumnFormula>N2*P2</calculatedColumnFormula>
    </tableColumn>
    <tableColumn id="10" xr3:uid="{7E0FB4A9-1362-4CAB-844B-3DEDA4F8BBA6}" name="Importo stimato per ricambi" dataDxfId="248" totalsRowDxfId="247"/>
    <tableColumn id="12" xr3:uid="{725FEA47-78A5-4915-BF75-AA55DCFFF936}" name="Importo gara" dataDxfId="246" totalsRowDxfId="245">
      <calculatedColumnFormula>Tabella24[[#This Row],[Importo 48 mesi]]+Tabella24[[#This Row],[Importo stimato per ricambi]]</calculatedColumnFormula>
    </tableColumn>
    <tableColumn id="9" xr3:uid="{00C52C54-B3B4-4DCE-823E-7513D24EDADE}" name="Importo stimato per lotto" totalsRowFunction="custom" dataDxfId="244" totalsRowDxfId="243">
      <totalsRowFormula>SUM(Tabella24[Importo stimato per lotto])</totalsRow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0BC561D-F961-4582-9EA3-4E57957DDD75}" name="Tabella289" displayName="Tabella289" ref="A1:T5" totalsRowCount="1" headerRowDxfId="242" dataDxfId="240" totalsRowDxfId="238" headerRowBorderDxfId="241" tableBorderDxfId="239" totalsRowBorderDxfId="237">
  <autoFilter ref="A1:T4" xr:uid="{33DAB39D-4E16-496D-81AE-A4D2E44F16BB}"/>
  <tableColumns count="20">
    <tableColumn id="1" xr3:uid="{13EF1133-C850-4A5C-AEBC-5B36DD3C9557}" name="Lotto" dataDxfId="236" totalsRowDxfId="235"/>
    <tableColumn id="13" xr3:uid="{68BA3D7E-4CA5-410A-9677-74F7E76C4584}" name="ID" dataDxfId="234" totalsRowDxfId="233"/>
    <tableColumn id="18" xr3:uid="{CEF176D1-7636-4A26-9E35-C47117663F02}" name="Vincoli di offerta tra categorie/lotti" dataDxfId="232" totalsRowDxfId="231"/>
    <tableColumn id="19" xr3:uid="{AA6BA6F3-5665-4DAA-A5A7-0031C2D54E36}" name="Categoria (descrizione semplice)" dataDxfId="230" totalsRowDxfId="229"/>
    <tableColumn id="20" xr3:uid="{0E831CFC-38E2-4141-BB75-FA988975E8E8}" name="Descrizione e requisiti minimi" dataDxfId="228" totalsRowDxfId="227"/>
    <tableColumn id="14" xr3:uid="{A8499E56-4732-403B-A0B4-A4A85F4DE9E4}" name="Ulteriori requisiti minimi" dataDxfId="226" totalsRowDxfId="225"/>
    <tableColumn id="16" xr3:uid="{10F2A7FE-9D8E-4092-993D-3FBE4F2B2A19}" name="Norme tecniche richieste" dataDxfId="224" totalsRowDxfId="223"/>
    <tableColumn id="17" xr3:uid="{F89B56FD-2F49-44AB-90EF-8ACCCA26ACC0}" name="Ulteriori elementi premianti" dataDxfId="222" totalsRowDxfId="221"/>
    <tableColumn id="11" xr3:uid="{87153A6E-16F0-45FF-BC31-6AA1A01F25AE}" name="Componenti protesici tipo (kit)" dataDxfId="220" totalsRowDxfId="219"/>
    <tableColumn id="3" xr3:uid="{8CFD9502-01A3-4519-82B5-53340370CA9C}" name="Campione richiesto (sì/no/a richiesta)" dataDxfId="218" totalsRowDxfId="217"/>
    <tableColumn id="2" xr3:uid="{9EEF0D25-AD41-4577-8D5B-A6A4F075FF25}" name="Numero massimo aggiundicatari massimi" dataDxfId="216" totalsRowDxfId="215"/>
    <tableColumn id="4" xr3:uid="{8F395521-F132-4325-A6B3-760C935FD3A7}" name="Consumo stimato" dataDxfId="214" totalsRowDxfId="213"/>
    <tableColumn id="5" xr3:uid="{9B73F9C7-4474-4729-91C8-7E4C89132892}" name="Fabbisogno 12 mesi" dataDxfId="212" totalsRowDxfId="211"/>
    <tableColumn id="6" xr3:uid="{D7756F24-51D6-4921-9E25-1A7BDDA0BCCA}" name="Fabbisogno 48 mesi" dataDxfId="210" totalsRowDxfId="209"/>
    <tableColumn id="7" xr3:uid="{8C05BCF5-7849-4A69-96B7-984666351C95}" name="Prezzo unitario base d'asta (costo+15%)" dataDxfId="208" totalsRowDxfId="207"/>
    <tableColumn id="15" xr3:uid="{0F1C9E4C-C012-4F73-835E-84C64F96CCE6}" name="Prezzo unitario a base d'asta " dataDxfId="206" totalsRowDxfId="205"/>
    <tableColumn id="8" xr3:uid="{E4917A5B-F375-4076-869F-69F3047721AF}" name="Importo 48 mesi" dataDxfId="204" totalsRowDxfId="203">
      <calculatedColumnFormula>N2*P2</calculatedColumnFormula>
    </tableColumn>
    <tableColumn id="10" xr3:uid="{FEC531C9-B2C3-4E5C-B984-0911AD75EB33}" name="Importo stimato per ricambi" dataDxfId="202" totalsRowDxfId="201"/>
    <tableColumn id="12" xr3:uid="{84EB9A6C-3DD2-4E0F-8707-04AAF3D7CA03}" name="Importo gara" dataDxfId="200" totalsRowDxfId="199"/>
    <tableColumn id="9" xr3:uid="{ADE795DC-1554-4A29-828C-9640E5914E1A}" name="Importo stimato per lotto" totalsRowFunction="custom" dataDxfId="198" totalsRowDxfId="197">
      <totalsRowFormula>SUM(Tabella289[Importo stimato per lotto])</totalsRow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8CF83D8-96A0-47D0-A65F-583F96609001}" name="Tabella2810" displayName="Tabella2810" ref="A1:T46" totalsRowCount="1" headerRowDxfId="196" dataDxfId="194" totalsRowDxfId="192" headerRowBorderDxfId="195" tableBorderDxfId="193" totalsRowBorderDxfId="191">
  <autoFilter ref="A1:T45" xr:uid="{33DAB39D-4E16-496D-81AE-A4D2E44F16BB}"/>
  <tableColumns count="20">
    <tableColumn id="1" xr3:uid="{62FEA477-CB7B-45EB-B2B9-AC1C2C04427E}" name="Lotto" dataDxfId="190" totalsRowDxfId="189"/>
    <tableColumn id="13" xr3:uid="{06CAA3CD-400C-48D0-9D34-6628AAABE1F5}" name="ID" dataDxfId="188" totalsRowDxfId="187"/>
    <tableColumn id="18" xr3:uid="{1C1BDAD8-7357-4214-A648-2A1D61F6EF7E}" name="Vincoli di offerta tra categorie/lotti" dataDxfId="186" totalsRowDxfId="185"/>
    <tableColumn id="19" xr3:uid="{A6180FA5-E23D-4F08-8703-E2A743785AC2}" name="Categoria (descrizione semplice)" dataDxfId="184" totalsRowDxfId="183"/>
    <tableColumn id="20" xr3:uid="{C0E16FCE-35AD-4DF0-90FF-3F027FF07381}" name="Descrizione e requisiti minimi" dataDxfId="182" totalsRowDxfId="181"/>
    <tableColumn id="14" xr3:uid="{A79A7A6E-F4DB-4CC6-BEE8-6AE01920F60D}" name="Ulteriori requisiti minimi" dataDxfId="180" totalsRowDxfId="179"/>
    <tableColumn id="16" xr3:uid="{8D019961-217D-4996-B238-016CC23B23A5}" name="Norme tecniche richieste" dataDxfId="178" totalsRowDxfId="177"/>
    <tableColumn id="17" xr3:uid="{F5263FA3-33E9-4CA8-94B8-608CC3ED6131}" name="Ulteriori elementi premianti" dataDxfId="176" totalsRowDxfId="175"/>
    <tableColumn id="11" xr3:uid="{A10EDBC2-C015-4F51-902D-2CE832889C2F}" name="Componenti protesici tipo (kit)" dataDxfId="174" totalsRowDxfId="173"/>
    <tableColumn id="3" xr3:uid="{428CFD7C-700F-461B-B5CB-4C852543C76C}" name="Campione richiesto (sì/no/a richiesta)" dataDxfId="172" totalsRowDxfId="171"/>
    <tableColumn id="2" xr3:uid="{72E4F55F-4D22-4903-B25A-328D84063EC8}" name="Numero massimo aggiundicatari massimi" dataDxfId="170" totalsRowDxfId="169"/>
    <tableColumn id="4" xr3:uid="{C9378BF8-F082-491F-82E4-6D2A162F3805}" name="Consumo stimato" dataDxfId="168" totalsRowDxfId="167"/>
    <tableColumn id="5" xr3:uid="{2F8DF77F-17B6-41C5-9C37-F774C21CDD02}" name="Fabbisogno 12 mesi" dataDxfId="166" totalsRowDxfId="165"/>
    <tableColumn id="6" xr3:uid="{CE68FC56-8766-4F75-9EC1-5888E13755B2}" name="Fabbisogno 48 mesi" dataDxfId="164" totalsRowDxfId="163"/>
    <tableColumn id="7" xr3:uid="{420D408A-C3A7-47D6-82E7-1E14A14BD54B}" name="Prezzo unitario base d'asta (costo+15%)" dataDxfId="162" totalsRowDxfId="161"/>
    <tableColumn id="15" xr3:uid="{61AB79E0-FCBB-4806-BA4C-48572FE08AD0}" name="Prezzo unitario a base d'asta " dataDxfId="160" totalsRowDxfId="159"/>
    <tableColumn id="8" xr3:uid="{BEA7222D-070E-415F-B5AC-DE3BCBB45A0E}" name="Importo 48 mesi" dataDxfId="158" totalsRowDxfId="157">
      <calculatedColumnFormula>N2*P2</calculatedColumnFormula>
    </tableColumn>
    <tableColumn id="10" xr3:uid="{B91465E6-64EE-4A01-BA72-D1114CE45C48}" name="Importo stimato per ricambi" dataDxfId="156" totalsRowDxfId="155"/>
    <tableColumn id="12" xr3:uid="{0E03D0A7-2589-44E9-BDA0-439A93B30440}" name="Importo gara" dataDxfId="154" totalsRowDxfId="153"/>
    <tableColumn id="9" xr3:uid="{2D8BAA94-2315-4AD2-BBFA-0294555FA38F}" name="Importo stimato per lotto" totalsRowFunction="custom" dataDxfId="152" totalsRowDxfId="151">
      <totalsRowFormula>SUM(Tabella2810[Importo stimato per lotto])</totalsRow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ECACB73-792D-45E3-9C1E-365CA6C8A8BB}" name="Tabella2811" displayName="Tabella2811" ref="A1:T21" totalsRowCount="1" headerRowDxfId="150" dataDxfId="148" totalsRowDxfId="146" headerRowBorderDxfId="149" tableBorderDxfId="147" totalsRowBorderDxfId="145">
  <autoFilter ref="A1:T20" xr:uid="{33DAB39D-4E16-496D-81AE-A4D2E44F16BB}"/>
  <tableColumns count="20">
    <tableColumn id="1" xr3:uid="{817CCDDD-096E-40AC-ACC5-3AF935E77B7C}" name="Lotto" dataDxfId="144" totalsRowDxfId="143"/>
    <tableColumn id="13" xr3:uid="{63323737-F31B-49F7-AD55-97E19C4A9CE6}" name="ID" dataDxfId="142" totalsRowDxfId="141"/>
    <tableColumn id="18" xr3:uid="{308F6A98-219A-4C89-9AA8-E01F1D7CDDED}" name="Vincoli di offerta tra categorie/lotti" dataDxfId="140" totalsRowDxfId="139"/>
    <tableColumn id="19" xr3:uid="{9FE5C049-B2FD-4B62-8EEF-7095AD9B4C80}" name="Categoria (descrizione semplice)" dataDxfId="138" totalsRowDxfId="137"/>
    <tableColumn id="20" xr3:uid="{6327C7EB-3652-46B6-803C-ED76478BB89D}" name="Descrizione e requisiti minimi" dataDxfId="136" totalsRowDxfId="135"/>
    <tableColumn id="14" xr3:uid="{517EB612-B73D-470E-9EFC-81045A97A412}" name="Ulteriori requisiti minimi" dataDxfId="134" totalsRowDxfId="133"/>
    <tableColumn id="16" xr3:uid="{CDF23990-034C-4B80-BF3A-E63BF0AC48D0}" name="Norme tecniche richieste" dataDxfId="132" totalsRowDxfId="131"/>
    <tableColumn id="17" xr3:uid="{13F4349E-E068-43E4-9776-D561458710F7}" name="Ulteriori elementi premianti" dataDxfId="130" totalsRowDxfId="129"/>
    <tableColumn id="11" xr3:uid="{FFA4BB17-CDA0-4030-AC79-01D40E00A49F}" name="Componenti protesici tipo (kit)" dataDxfId="128" totalsRowDxfId="127"/>
    <tableColumn id="3" xr3:uid="{3E27D869-7E1A-4DE1-A98F-1B5B7F824B56}" name="Campione richiesto (sì/no/a richiesta)" dataDxfId="126" totalsRowDxfId="125"/>
    <tableColumn id="2" xr3:uid="{6D35F896-B783-4931-8705-711771059C2D}" name="Numero massimo aggiundicatari massimi" dataDxfId="124" totalsRowDxfId="123"/>
    <tableColumn id="4" xr3:uid="{C41FC401-9A4A-4DC7-8AE2-B8A37CC89610}" name="Consumo stimato" dataDxfId="122" totalsRowDxfId="121"/>
    <tableColumn id="5" xr3:uid="{87A45438-9783-4768-AC1D-D6D440C076B2}" name="Fabbisogno 12 mesi" dataDxfId="120" totalsRowDxfId="119"/>
    <tableColumn id="6" xr3:uid="{B92A7FC4-F2A9-4240-A586-F0B175C2E910}" name="Fabbisogno 48 mesi" dataDxfId="118" totalsRowDxfId="117"/>
    <tableColumn id="7" xr3:uid="{1C833956-EE5C-4373-89CE-7CC69C6DD1E6}" name="Prezzo unitario base d'asta (costo+15%)" dataDxfId="116" totalsRowDxfId="115"/>
    <tableColumn id="15" xr3:uid="{442E8AEB-81F9-4D55-BE29-4DD496BDC325}" name="Prezzo unitario a base d'asta " dataDxfId="114" totalsRowDxfId="113"/>
    <tableColumn id="8" xr3:uid="{57AC893C-03BE-4443-916C-66F0A24E422C}" name="Importo 48 mesi" dataDxfId="112" totalsRowDxfId="111">
      <calculatedColumnFormula>N2*P2</calculatedColumnFormula>
    </tableColumn>
    <tableColumn id="10" xr3:uid="{179FBD9C-AFC3-4AD8-9AF3-DF4D81D8E031}" name="Importo stimato per ricambi" dataDxfId="110" totalsRowDxfId="109"/>
    <tableColumn id="12" xr3:uid="{36BD458B-F81E-4836-8010-992E507FD345}" name="Importo gara" dataDxfId="108" totalsRowDxfId="107"/>
    <tableColumn id="9" xr3:uid="{898565C6-8855-4DEF-BFB0-416EBE27C243}" name="Importo stimato per lotto" totalsRowFunction="custom" dataDxfId="106" totalsRowDxfId="105">
      <totalsRowFormula>SUM(Tabella2811[Importo stimato per lotto])</totalsRow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211A988-822B-4925-9D53-496B639BA059}" name="Tabella2812" displayName="Tabella2812" ref="A1:T3" totalsRowCount="1" headerRowDxfId="104" dataDxfId="102" totalsRowDxfId="100" headerRowBorderDxfId="103" tableBorderDxfId="101" totalsRowBorderDxfId="99">
  <autoFilter ref="A1:T2" xr:uid="{33DAB39D-4E16-496D-81AE-A4D2E44F16BB}"/>
  <tableColumns count="20">
    <tableColumn id="1" xr3:uid="{D1E0D483-2D87-466F-9689-615D88C6C7F5}" name="Lotto" dataDxfId="98" totalsRowDxfId="97"/>
    <tableColumn id="13" xr3:uid="{F5750721-EA44-468E-86A2-FBFEB2E90FAF}" name="ID" dataDxfId="96" totalsRowDxfId="95"/>
    <tableColumn id="18" xr3:uid="{0C7B2D24-FC03-49F1-963D-690A72577386}" name="Vincoli di offerta tra categorie/lotti" dataDxfId="94" totalsRowDxfId="93"/>
    <tableColumn id="19" xr3:uid="{1AD38F69-7220-4AAC-ADC0-3C88BD0FAD19}" name="Categoria (descrizione semplice)" dataDxfId="92" totalsRowDxfId="91"/>
    <tableColumn id="20" xr3:uid="{2EEF21AF-08C8-4FA4-B4F9-4ADA69D3DBD7}" name="Descrizione e requisiti minimi" dataDxfId="90" totalsRowDxfId="89"/>
    <tableColumn id="14" xr3:uid="{6E0339EC-C5E8-40D7-AFB2-213C97410015}" name="Ulteriori requisiti minimi" dataDxfId="88" totalsRowDxfId="87"/>
    <tableColumn id="16" xr3:uid="{8990BBCD-0523-4B83-9479-2CCEC1DF55A6}" name="Norme tecniche richieste" dataDxfId="86" totalsRowDxfId="85"/>
    <tableColumn id="17" xr3:uid="{14052A01-B54D-433C-A095-B2C56340F87D}" name="Ulteriori elementi premianti" dataDxfId="84" totalsRowDxfId="83"/>
    <tableColumn id="11" xr3:uid="{A8951530-720E-44E4-B3EB-9DB92F58829D}" name="Componenti protesici tipo (kit)" dataDxfId="82" totalsRowDxfId="81"/>
    <tableColumn id="3" xr3:uid="{E7BB1523-A516-4753-AC93-4259B922E3E2}" name="Campione richiesto (sì/no/a richiesta)" dataDxfId="80" totalsRowDxfId="79"/>
    <tableColumn id="2" xr3:uid="{3849F786-74D0-4C8F-A1E9-0F8EBB50FEAC}" name="Numero massimo aggiundicatari massimi" dataDxfId="78" totalsRowDxfId="77"/>
    <tableColumn id="4" xr3:uid="{748DD6F2-5000-45F6-AAD0-647C9EF77ED4}" name="Consumo stimato" dataDxfId="76" totalsRowDxfId="75"/>
    <tableColumn id="5" xr3:uid="{62AAE1DD-D371-4147-8E6E-39117FF8C186}" name="Fabbisogno 12 mesi" dataDxfId="74" totalsRowDxfId="73"/>
    <tableColumn id="6" xr3:uid="{A14FB5D9-CEB4-48EC-8471-E40A76BEF25D}" name="Fabbisogno 48 mesi" dataDxfId="72" totalsRowDxfId="71"/>
    <tableColumn id="7" xr3:uid="{CAD348C6-8E20-4483-A53A-A34E7CB2A555}" name="Prezzo unitario base d'asta (costo+15%)" dataDxfId="70" totalsRowDxfId="69"/>
    <tableColumn id="15" xr3:uid="{CEAF44E6-3E03-49AC-B4B5-BE1B7BFB99A7}" name="Prezzo unitario a base d'asta " dataDxfId="68" totalsRowDxfId="67"/>
    <tableColumn id="8" xr3:uid="{9E3E1C8A-3CD2-41E1-8680-BDDDA538D08D}" name="Importo 48 mesi" dataDxfId="66" totalsRowDxfId="65">
      <calculatedColumnFormula>N2*P2</calculatedColumnFormula>
    </tableColumn>
    <tableColumn id="10" xr3:uid="{A0A0F9B4-E7E1-469B-AD5F-F36A6FDDCEE3}" name="Importo stimato per ricambi" dataDxfId="64" totalsRowDxfId="63"/>
    <tableColumn id="12" xr3:uid="{6424F674-22DA-4DF9-B30B-B153B9AB9930}" name="Importo gara" dataDxfId="62" totalsRowDxfId="61"/>
    <tableColumn id="9" xr3:uid="{B90413B3-D383-4969-ABEB-14BAA4BB5047}" name="Importo stimato per lotto" totalsRowFunction="custom" dataDxfId="60" totalsRowDxfId="59">
      <totalsRowFormula>SUM(Tabella2812[Importo stimato per lotto])</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BB075-1803-4703-90A4-DDEBBDFBD4EA}">
  <dimension ref="A1:X81"/>
  <sheetViews>
    <sheetView tabSelected="1" zoomScale="115" zoomScaleNormal="115" workbookViewId="0">
      <selection activeCell="H70" sqref="H70"/>
    </sheetView>
  </sheetViews>
  <sheetFormatPr defaultColWidth="8.77734375" defaultRowHeight="13.8"/>
  <cols>
    <col min="1" max="16384" width="8.77734375" style="173"/>
  </cols>
  <sheetData>
    <row r="1" spans="1:1" ht="22.8">
      <c r="A1" s="238" t="s">
        <v>547</v>
      </c>
    </row>
    <row r="2" spans="1:1" ht="13.2" customHeight="1">
      <c r="A2" s="230"/>
    </row>
    <row r="3" spans="1:1">
      <c r="A3" s="239" t="s">
        <v>548</v>
      </c>
    </row>
    <row r="4" spans="1:1">
      <c r="A4" s="239" t="s">
        <v>549</v>
      </c>
    </row>
    <row r="5" spans="1:1">
      <c r="A5" s="240" t="s">
        <v>550</v>
      </c>
    </row>
    <row r="6" spans="1:1">
      <c r="A6" s="240" t="s">
        <v>551</v>
      </c>
    </row>
    <row r="7" spans="1:1">
      <c r="A7" s="240" t="s">
        <v>552</v>
      </c>
    </row>
    <row r="9" spans="1:1" ht="22.8">
      <c r="A9" s="238" t="s">
        <v>553</v>
      </c>
    </row>
    <row r="10" spans="1:1">
      <c r="A10" s="230"/>
    </row>
    <row r="11" spans="1:1">
      <c r="A11" s="239" t="s">
        <v>554</v>
      </c>
    </row>
    <row r="12" spans="1:1">
      <c r="A12" s="240" t="s">
        <v>555</v>
      </c>
    </row>
    <row r="13" spans="1:1">
      <c r="A13" s="240" t="s">
        <v>556</v>
      </c>
    </row>
    <row r="14" spans="1:1">
      <c r="A14" s="240" t="s">
        <v>557</v>
      </c>
    </row>
    <row r="15" spans="1:1">
      <c r="A15" s="240" t="s">
        <v>558</v>
      </c>
    </row>
    <row r="16" spans="1:1">
      <c r="A16" s="240"/>
    </row>
    <row r="17" spans="1:1">
      <c r="A17" s="239" t="s">
        <v>559</v>
      </c>
    </row>
    <row r="18" spans="1:1">
      <c r="A18" s="239" t="s">
        <v>560</v>
      </c>
    </row>
    <row r="19" spans="1:1">
      <c r="A19" s="240"/>
    </row>
    <row r="21" spans="1:1" ht="22.8">
      <c r="A21" s="238" t="s">
        <v>1179</v>
      </c>
    </row>
    <row r="22" spans="1:1" ht="22.8">
      <c r="A22" s="238"/>
    </row>
    <row r="23" spans="1:1" ht="15.6">
      <c r="A23" s="241" t="s">
        <v>3</v>
      </c>
    </row>
    <row r="24" spans="1:1">
      <c r="A24" s="239" t="s">
        <v>561</v>
      </c>
    </row>
    <row r="25" spans="1:1">
      <c r="A25" s="239" t="s">
        <v>562</v>
      </c>
    </row>
    <row r="26" spans="1:1" ht="22.8">
      <c r="A26" s="238"/>
    </row>
    <row r="27" spans="1:1" ht="15.6">
      <c r="A27" s="241" t="s">
        <v>4</v>
      </c>
    </row>
    <row r="28" spans="1:1">
      <c r="A28" s="239" t="s">
        <v>563</v>
      </c>
    </row>
    <row r="29" spans="1:1">
      <c r="A29" s="239" t="s">
        <v>564</v>
      </c>
    </row>
    <row r="30" spans="1:1">
      <c r="A30" s="239" t="s">
        <v>562</v>
      </c>
    </row>
    <row r="31" spans="1:1" ht="22.8">
      <c r="A31" s="238"/>
    </row>
    <row r="32" spans="1:1" ht="15.6">
      <c r="A32" s="241" t="s">
        <v>565</v>
      </c>
    </row>
    <row r="33" spans="1:16">
      <c r="A33" s="239" t="s">
        <v>566</v>
      </c>
    </row>
    <row r="34" spans="1:16">
      <c r="A34" s="239" t="s">
        <v>567</v>
      </c>
      <c r="L34" s="242"/>
    </row>
    <row r="35" spans="1:16">
      <c r="A35" s="239" t="s">
        <v>568</v>
      </c>
      <c r="O35" s="242"/>
    </row>
    <row r="36" spans="1:16">
      <c r="A36" s="239"/>
      <c r="O36" s="242"/>
    </row>
    <row r="37" spans="1:16" ht="15.6">
      <c r="A37" s="241" t="s">
        <v>569</v>
      </c>
    </row>
    <row r="38" spans="1:16">
      <c r="A38" s="239" t="s">
        <v>570</v>
      </c>
    </row>
    <row r="39" spans="1:16">
      <c r="A39" s="239" t="s">
        <v>571</v>
      </c>
      <c r="P39" s="242"/>
    </row>
    <row r="40" spans="1:16">
      <c r="A40" s="239" t="s">
        <v>568</v>
      </c>
      <c r="O40" s="242"/>
    </row>
    <row r="41" spans="1:16" ht="15.6">
      <c r="A41" s="241"/>
    </row>
    <row r="42" spans="1:16" ht="15.6">
      <c r="A42" s="241" t="s">
        <v>572</v>
      </c>
    </row>
    <row r="43" spans="1:16">
      <c r="A43" s="239" t="s">
        <v>573</v>
      </c>
    </row>
    <row r="44" spans="1:16">
      <c r="A44" s="239" t="s">
        <v>574</v>
      </c>
    </row>
    <row r="46" spans="1:16" ht="15.6">
      <c r="A46" s="241" t="s">
        <v>575</v>
      </c>
    </row>
    <row r="47" spans="1:16">
      <c r="A47" s="239" t="s">
        <v>576</v>
      </c>
    </row>
    <row r="48" spans="1:16">
      <c r="A48" s="240" t="s">
        <v>577</v>
      </c>
    </row>
    <row r="49" spans="1:15">
      <c r="A49" s="240" t="s">
        <v>578</v>
      </c>
    </row>
    <row r="50" spans="1:15">
      <c r="A50" s="239" t="s">
        <v>579</v>
      </c>
      <c r="O50" s="242"/>
    </row>
    <row r="51" spans="1:15" ht="15.6">
      <c r="A51" s="241"/>
    </row>
    <row r="52" spans="1:15" ht="15.6">
      <c r="A52" s="241" t="s">
        <v>1180</v>
      </c>
    </row>
    <row r="53" spans="1:15">
      <c r="A53" s="239" t="s">
        <v>580</v>
      </c>
    </row>
    <row r="54" spans="1:15" ht="15.6">
      <c r="A54" s="241"/>
    </row>
    <row r="55" spans="1:15" ht="15.6">
      <c r="A55" s="241"/>
    </row>
    <row r="56" spans="1:15" ht="22.8">
      <c r="A56" s="238" t="s">
        <v>581</v>
      </c>
    </row>
    <row r="58" spans="1:15" ht="15.6">
      <c r="A58" s="241" t="s">
        <v>582</v>
      </c>
    </row>
    <row r="59" spans="1:15">
      <c r="A59" s="239" t="s">
        <v>583</v>
      </c>
      <c r="J59" s="242"/>
    </row>
    <row r="60" spans="1:15">
      <c r="A60" s="240" t="s">
        <v>584</v>
      </c>
    </row>
    <row r="61" spans="1:15">
      <c r="A61" s="240" t="s">
        <v>585</v>
      </c>
    </row>
    <row r="62" spans="1:15">
      <c r="A62" s="240" t="s">
        <v>586</v>
      </c>
    </row>
    <row r="63" spans="1:15">
      <c r="A63" s="240"/>
    </row>
    <row r="64" spans="1:15">
      <c r="A64" s="239" t="s">
        <v>1182</v>
      </c>
    </row>
    <row r="65" spans="1:24">
      <c r="A65" s="240" t="s">
        <v>587</v>
      </c>
    </row>
    <row r="66" spans="1:24">
      <c r="A66" s="240" t="s">
        <v>588</v>
      </c>
    </row>
    <row r="67" spans="1:24">
      <c r="A67" s="240" t="s">
        <v>589</v>
      </c>
    </row>
    <row r="68" spans="1:24">
      <c r="A68" s="240"/>
    </row>
    <row r="69" spans="1:24" ht="15.6">
      <c r="A69" s="241" t="s">
        <v>590</v>
      </c>
    </row>
    <row r="70" spans="1:24">
      <c r="A70" s="239" t="s">
        <v>591</v>
      </c>
      <c r="J70" s="242"/>
    </row>
    <row r="71" spans="1:24">
      <c r="A71" s="240" t="s">
        <v>584</v>
      </c>
    </row>
    <row r="72" spans="1:24">
      <c r="A72" s="240" t="s">
        <v>585</v>
      </c>
    </row>
    <row r="73" spans="1:24">
      <c r="A73" s="240" t="s">
        <v>592</v>
      </c>
    </row>
    <row r="75" spans="1:24">
      <c r="A75" s="243" t="s">
        <v>593</v>
      </c>
    </row>
    <row r="78" spans="1:24" ht="15.6">
      <c r="A78" s="241" t="s">
        <v>594</v>
      </c>
    </row>
    <row r="79" spans="1:24">
      <c r="A79" s="239" t="s">
        <v>595</v>
      </c>
    </row>
    <row r="80" spans="1:24">
      <c r="A80" s="239" t="s">
        <v>596</v>
      </c>
      <c r="B80" s="239" t="s">
        <v>597</v>
      </c>
      <c r="C80" s="242"/>
      <c r="D80" s="242"/>
      <c r="E80" s="242"/>
      <c r="F80" s="242"/>
      <c r="G80" s="242"/>
      <c r="H80" s="242"/>
      <c r="I80" s="242"/>
      <c r="J80" s="242"/>
      <c r="K80" s="242"/>
      <c r="L80" s="242"/>
      <c r="M80" s="242"/>
      <c r="N80" s="242"/>
      <c r="O80" s="242"/>
      <c r="P80" s="242"/>
      <c r="Q80" s="242"/>
      <c r="R80" s="242"/>
      <c r="S80" s="242"/>
      <c r="T80" s="242"/>
      <c r="U80" s="242"/>
      <c r="V80" s="242"/>
      <c r="W80" s="242"/>
      <c r="X80" s="242"/>
    </row>
    <row r="81" spans="1:1">
      <c r="A81" s="239" t="s">
        <v>598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8BC3-82E8-47A1-BA6D-310D61496FD7}">
  <dimension ref="A1:U46"/>
  <sheetViews>
    <sheetView zoomScale="80" zoomScaleNormal="80" workbookViewId="0">
      <pane xSplit="1" topLeftCell="M1" activePane="topRight" state="frozen"/>
      <selection activeCell="U1" sqref="U1"/>
      <selection pane="topRight" activeCell="U1" sqref="U1"/>
    </sheetView>
  </sheetViews>
  <sheetFormatPr defaultColWidth="9.21875" defaultRowHeight="14.4"/>
  <cols>
    <col min="1" max="1" width="10.44140625" style="50" bestFit="1" customWidth="1"/>
    <col min="2" max="2" width="6.88671875" style="50" bestFit="1" customWidth="1"/>
    <col min="3" max="3" width="17.109375" style="50" bestFit="1" customWidth="1"/>
    <col min="4" max="4" width="23.44140625" style="50" bestFit="1" customWidth="1"/>
    <col min="5" max="5" width="69.44140625" style="50" bestFit="1" customWidth="1"/>
    <col min="6" max="6" width="51.77734375" style="50" bestFit="1" customWidth="1"/>
    <col min="7" max="7" width="23.33203125" style="50" bestFit="1" customWidth="1"/>
    <col min="8" max="8" width="25.6640625" style="50" bestFit="1" customWidth="1"/>
    <col min="9" max="9" width="32.109375" style="50" bestFit="1" customWidth="1"/>
    <col min="10" max="10" width="27.6640625" style="50" bestFit="1" customWidth="1"/>
    <col min="11" max="11" width="28.21875" style="50" bestFit="1" customWidth="1"/>
    <col min="12" max="12" width="28.21875" bestFit="1" customWidth="1"/>
    <col min="13" max="13" width="21.88671875" bestFit="1" customWidth="1"/>
    <col min="14" max="14" width="31.21875" bestFit="1" customWidth="1"/>
    <col min="15" max="15" width="23.77734375" bestFit="1" customWidth="1"/>
    <col min="16" max="16" width="28" style="44" bestFit="1" customWidth="1"/>
    <col min="17" max="17" width="27.21875" style="44" bestFit="1" customWidth="1"/>
    <col min="18" max="18" width="26.88671875" bestFit="1" customWidth="1"/>
    <col min="19" max="19" width="23.44140625" style="51" bestFit="1" customWidth="1"/>
    <col min="20" max="20" width="20.77734375" bestFit="1" customWidth="1"/>
    <col min="21" max="21" width="14.21875" bestFit="1" customWidth="1"/>
  </cols>
  <sheetData>
    <row r="1" spans="1:21" ht="65.400000000000006" thickBot="1">
      <c r="A1" s="131" t="s">
        <v>626</v>
      </c>
      <c r="B1" s="131" t="s">
        <v>776</v>
      </c>
      <c r="C1" s="131" t="s">
        <v>628</v>
      </c>
      <c r="D1" s="132" t="s">
        <v>777</v>
      </c>
      <c r="E1" s="132" t="s">
        <v>630</v>
      </c>
      <c r="F1" s="133" t="s">
        <v>778</v>
      </c>
      <c r="G1" s="133" t="s">
        <v>632</v>
      </c>
      <c r="H1" s="133" t="s">
        <v>633</v>
      </c>
      <c r="I1" s="133" t="s">
        <v>634</v>
      </c>
      <c r="J1" s="132" t="s">
        <v>635</v>
      </c>
      <c r="K1" s="134" t="s">
        <v>636</v>
      </c>
      <c r="L1" s="135" t="s">
        <v>637</v>
      </c>
      <c r="M1" s="132" t="s">
        <v>638</v>
      </c>
      <c r="N1" s="135" t="s">
        <v>639</v>
      </c>
      <c r="O1" s="136" t="s">
        <v>640</v>
      </c>
      <c r="P1" s="137" t="s">
        <v>641</v>
      </c>
      <c r="Q1" s="137" t="s">
        <v>642</v>
      </c>
      <c r="R1" s="138" t="s">
        <v>643</v>
      </c>
      <c r="S1" s="138" t="s">
        <v>644</v>
      </c>
      <c r="T1" s="138" t="s">
        <v>645</v>
      </c>
    </row>
    <row r="2" spans="1:21" ht="130.19999999999999" thickBot="1">
      <c r="A2" s="60" t="s">
        <v>49</v>
      </c>
      <c r="B2" s="52" t="s">
        <v>784</v>
      </c>
      <c r="C2" s="34"/>
      <c r="D2" s="155" t="s">
        <v>346</v>
      </c>
      <c r="E2" s="155" t="s">
        <v>785</v>
      </c>
      <c r="F2" s="106" t="s">
        <v>786</v>
      </c>
      <c r="G2" s="106"/>
      <c r="H2" s="106"/>
      <c r="I2" s="106" t="s">
        <v>787</v>
      </c>
      <c r="J2" s="30"/>
      <c r="K2" s="86" t="s">
        <v>788</v>
      </c>
      <c r="L2" s="61">
        <v>176</v>
      </c>
      <c r="M2" s="61">
        <v>135</v>
      </c>
      <c r="N2" s="30">
        <f t="shared" ref="N2:N45" si="0">M2*4</f>
        <v>540</v>
      </c>
      <c r="O2" s="35">
        <v>176.4905</v>
      </c>
      <c r="P2" s="35">
        <f t="shared" ref="P2:P45" si="1">O2/1.15</f>
        <v>153.47</v>
      </c>
      <c r="Q2" s="35">
        <f t="shared" ref="Q2:Q45" si="2">N2*P2</f>
        <v>82873.8</v>
      </c>
      <c r="R2" s="35">
        <f>Tabella2810[[#This Row],[Importo 48 mesi]]*0.01</f>
        <v>828.73800000000006</v>
      </c>
      <c r="S2" s="35">
        <f>SUM(Tabella2810[[#This Row],[Importo 48 mesi]:[Importo stimato per ricambi]])</f>
        <v>83702.538</v>
      </c>
      <c r="T2" s="53">
        <f>SUM(S2:S45)</f>
        <v>13674299.120130436</v>
      </c>
    </row>
    <row r="3" spans="1:21" ht="202.2" thickBot="1">
      <c r="A3" s="33" t="s">
        <v>49</v>
      </c>
      <c r="B3" s="54" t="s">
        <v>789</v>
      </c>
      <c r="C3" s="36"/>
      <c r="D3" s="45" t="s">
        <v>353</v>
      </c>
      <c r="E3" s="45" t="s">
        <v>790</v>
      </c>
      <c r="F3" s="107" t="s">
        <v>791</v>
      </c>
      <c r="G3" s="107"/>
      <c r="H3" s="107"/>
      <c r="I3" s="107" t="s">
        <v>792</v>
      </c>
      <c r="J3" s="37"/>
      <c r="K3" s="86" t="s">
        <v>788</v>
      </c>
      <c r="L3" s="29">
        <v>0</v>
      </c>
      <c r="M3" s="29">
        <v>68</v>
      </c>
      <c r="N3" s="37">
        <f t="shared" si="0"/>
        <v>272</v>
      </c>
      <c r="O3" s="31">
        <v>408.65249999999997</v>
      </c>
      <c r="P3" s="31">
        <f t="shared" si="1"/>
        <v>355.35</v>
      </c>
      <c r="Q3" s="31">
        <f t="shared" si="2"/>
        <v>96655.200000000012</v>
      </c>
      <c r="R3" s="31">
        <f>Tabella2810[[#This Row],[Importo 48 mesi]]*0.01</f>
        <v>966.55200000000013</v>
      </c>
      <c r="S3" s="31">
        <f>SUM(Tabella2810[[#This Row],[Importo 48 mesi]:[Importo stimato per ricambi]])</f>
        <v>97621.752000000008</v>
      </c>
      <c r="T3" s="55"/>
    </row>
    <row r="4" spans="1:21" ht="172.8">
      <c r="A4" s="33" t="s">
        <v>49</v>
      </c>
      <c r="B4" s="54" t="s">
        <v>793</v>
      </c>
      <c r="C4" s="36"/>
      <c r="D4" s="45" t="s">
        <v>374</v>
      </c>
      <c r="E4" s="45" t="s">
        <v>794</v>
      </c>
      <c r="F4" s="107" t="s">
        <v>795</v>
      </c>
      <c r="G4" s="107"/>
      <c r="H4" s="107"/>
      <c r="I4" s="107" t="s">
        <v>796</v>
      </c>
      <c r="J4" s="37"/>
      <c r="K4" s="86" t="s">
        <v>788</v>
      </c>
      <c r="L4" s="29">
        <v>4</v>
      </c>
      <c r="M4" s="29">
        <v>38</v>
      </c>
      <c r="N4" s="37">
        <f t="shared" si="0"/>
        <v>152</v>
      </c>
      <c r="O4" s="31">
        <v>665.68899999999996</v>
      </c>
      <c r="P4" s="31">
        <f t="shared" si="1"/>
        <v>578.86</v>
      </c>
      <c r="Q4" s="31">
        <f t="shared" si="2"/>
        <v>87986.72</v>
      </c>
      <c r="R4" s="31">
        <f>Tabella2810[[#This Row],[Importo 48 mesi]]*0.01</f>
        <v>879.86720000000003</v>
      </c>
      <c r="S4" s="31">
        <f>SUM(Tabella2810[[#This Row],[Importo 48 mesi]:[Importo stimato per ricambi]])</f>
        <v>88866.587199999994</v>
      </c>
      <c r="T4" s="55"/>
    </row>
    <row r="5" spans="1:21" ht="144">
      <c r="A5" s="33" t="s">
        <v>49</v>
      </c>
      <c r="B5" s="54" t="s">
        <v>797</v>
      </c>
      <c r="C5" s="36"/>
      <c r="D5" s="45" t="s">
        <v>380</v>
      </c>
      <c r="E5" s="45" t="s">
        <v>798</v>
      </c>
      <c r="F5" s="107" t="s">
        <v>1341</v>
      </c>
      <c r="G5" s="107"/>
      <c r="H5" s="107"/>
      <c r="I5" s="107" t="s">
        <v>799</v>
      </c>
      <c r="J5" s="37"/>
      <c r="K5" s="88" t="s">
        <v>800</v>
      </c>
      <c r="L5" s="29">
        <v>1</v>
      </c>
      <c r="M5" s="29">
        <v>12</v>
      </c>
      <c r="N5" s="37">
        <f t="shared" si="0"/>
        <v>48</v>
      </c>
      <c r="O5" s="31">
        <v>1795.1499999999999</v>
      </c>
      <c r="P5" s="31">
        <f t="shared" si="1"/>
        <v>1561</v>
      </c>
      <c r="Q5" s="31">
        <f t="shared" si="2"/>
        <v>74928</v>
      </c>
      <c r="R5" s="31">
        <f>Tabella2810[[#This Row],[Importo 48 mesi]]*0.01</f>
        <v>749.28</v>
      </c>
      <c r="S5" s="31">
        <f>SUM(Tabella2810[[#This Row],[Importo 48 mesi]:[Importo stimato per ricambi]])</f>
        <v>75677.279999999999</v>
      </c>
      <c r="T5" s="55"/>
    </row>
    <row r="6" spans="1:21" ht="201.6">
      <c r="A6" s="33" t="s">
        <v>49</v>
      </c>
      <c r="B6" s="54" t="s">
        <v>801</v>
      </c>
      <c r="C6" s="36"/>
      <c r="D6" s="45" t="s">
        <v>802</v>
      </c>
      <c r="E6" s="45" t="s">
        <v>803</v>
      </c>
      <c r="F6" s="107" t="s">
        <v>804</v>
      </c>
      <c r="G6" s="107"/>
      <c r="H6" s="107"/>
      <c r="I6" s="107" t="s">
        <v>805</v>
      </c>
      <c r="J6" s="37"/>
      <c r="K6" s="88" t="s">
        <v>806</v>
      </c>
      <c r="L6" s="29">
        <v>0</v>
      </c>
      <c r="M6" s="29">
        <v>19</v>
      </c>
      <c r="N6" s="37">
        <f t="shared" si="0"/>
        <v>76</v>
      </c>
      <c r="O6" s="31">
        <v>10429.35</v>
      </c>
      <c r="P6" s="31">
        <f t="shared" si="1"/>
        <v>9069.0000000000018</v>
      </c>
      <c r="Q6" s="31">
        <f t="shared" si="2"/>
        <v>689244.00000000012</v>
      </c>
      <c r="R6" s="31">
        <f>Tabella2810[[#This Row],[Importo 48 mesi]]*0.005</f>
        <v>3446.2200000000007</v>
      </c>
      <c r="S6" s="31">
        <f>SUM(Tabella2810[[#This Row],[Importo 48 mesi]:[Importo stimato per ricambi]])</f>
        <v>692690.22000000009</v>
      </c>
      <c r="T6" s="55"/>
    </row>
    <row r="7" spans="1:21" ht="230.4">
      <c r="A7" s="33" t="s">
        <v>49</v>
      </c>
      <c r="B7" s="54" t="s">
        <v>807</v>
      </c>
      <c r="C7" s="36"/>
      <c r="D7" s="45" t="s">
        <v>1275</v>
      </c>
      <c r="E7" s="45" t="s">
        <v>808</v>
      </c>
      <c r="F7" s="107" t="s">
        <v>809</v>
      </c>
      <c r="G7" s="107"/>
      <c r="H7" s="107"/>
      <c r="I7" s="107" t="s">
        <v>810</v>
      </c>
      <c r="J7" s="37"/>
      <c r="K7" s="88" t="s">
        <v>806</v>
      </c>
      <c r="L7" s="29">
        <v>0</v>
      </c>
      <c r="M7" s="29">
        <v>3</v>
      </c>
      <c r="N7" s="37">
        <f t="shared" si="0"/>
        <v>12</v>
      </c>
      <c r="O7" s="31">
        <v>13813.8</v>
      </c>
      <c r="P7" s="31">
        <f t="shared" si="1"/>
        <v>12012</v>
      </c>
      <c r="Q7" s="31">
        <f t="shared" si="2"/>
        <v>144144</v>
      </c>
      <c r="R7" s="31">
        <f>Tabella2810[[#This Row],[Importo 48 mesi]]*0.005</f>
        <v>720.72</v>
      </c>
      <c r="S7" s="31">
        <f>SUM(Tabella2810[[#This Row],[Importo 48 mesi]:[Importo stimato per ricambi]])</f>
        <v>144864.72</v>
      </c>
      <c r="T7" s="55"/>
    </row>
    <row r="8" spans="1:21" ht="230.4">
      <c r="A8" s="33" t="s">
        <v>49</v>
      </c>
      <c r="B8" s="54" t="s">
        <v>811</v>
      </c>
      <c r="C8" s="36"/>
      <c r="D8" s="45" t="s">
        <v>1277</v>
      </c>
      <c r="E8" s="45" t="s">
        <v>812</v>
      </c>
      <c r="F8" s="107" t="s">
        <v>809</v>
      </c>
      <c r="G8" s="107"/>
      <c r="H8" s="107"/>
      <c r="I8" s="107" t="s">
        <v>813</v>
      </c>
      <c r="J8" s="37"/>
      <c r="K8" s="88" t="s">
        <v>806</v>
      </c>
      <c r="L8" s="29">
        <v>0</v>
      </c>
      <c r="M8" s="29">
        <v>3</v>
      </c>
      <c r="N8" s="37">
        <f t="shared" si="0"/>
        <v>12</v>
      </c>
      <c r="O8" s="31">
        <v>22628.55</v>
      </c>
      <c r="P8" s="31">
        <f t="shared" si="1"/>
        <v>19677</v>
      </c>
      <c r="Q8" s="31">
        <f t="shared" si="2"/>
        <v>236124</v>
      </c>
      <c r="R8" s="31">
        <f>Tabella2810[[#This Row],[Importo 48 mesi]]*0.005</f>
        <v>1180.6200000000001</v>
      </c>
      <c r="S8" s="31">
        <f>SUM(Tabella2810[[#This Row],[Importo 48 mesi]:[Importo stimato per ricambi]])</f>
        <v>237304.62</v>
      </c>
      <c r="T8" s="55"/>
    </row>
    <row r="9" spans="1:21" ht="230.4">
      <c r="A9" s="33" t="s">
        <v>49</v>
      </c>
      <c r="B9" s="54" t="s">
        <v>814</v>
      </c>
      <c r="C9" s="36"/>
      <c r="D9" s="45" t="s">
        <v>1279</v>
      </c>
      <c r="E9" s="45" t="s">
        <v>815</v>
      </c>
      <c r="F9" s="107" t="s">
        <v>809</v>
      </c>
      <c r="G9" s="107"/>
      <c r="H9" s="107"/>
      <c r="I9" s="107" t="s">
        <v>810</v>
      </c>
      <c r="J9" s="37"/>
      <c r="K9" s="88" t="s">
        <v>806</v>
      </c>
      <c r="L9" s="29">
        <v>0</v>
      </c>
      <c r="M9" s="29">
        <v>3</v>
      </c>
      <c r="N9" s="37">
        <f t="shared" si="0"/>
        <v>12</v>
      </c>
      <c r="O9" s="31">
        <v>29601</v>
      </c>
      <c r="P9" s="31">
        <f t="shared" si="1"/>
        <v>25740.000000000004</v>
      </c>
      <c r="Q9" s="31">
        <f t="shared" si="2"/>
        <v>308880.00000000006</v>
      </c>
      <c r="R9" s="31">
        <f>Tabella2810[[#This Row],[Importo 48 mesi]]*0.005</f>
        <v>1544.4000000000003</v>
      </c>
      <c r="S9" s="31">
        <f>SUM(Tabella2810[[#This Row],[Importo 48 mesi]:[Importo stimato per ricambi]])</f>
        <v>310424.40000000008</v>
      </c>
      <c r="T9" s="55"/>
    </row>
    <row r="10" spans="1:21" ht="230.4">
      <c r="A10" s="33" t="s">
        <v>49</v>
      </c>
      <c r="B10" s="54" t="s">
        <v>816</v>
      </c>
      <c r="C10" s="36"/>
      <c r="D10" s="45" t="s">
        <v>1281</v>
      </c>
      <c r="E10" s="45" t="s">
        <v>817</v>
      </c>
      <c r="F10" s="107" t="s">
        <v>809</v>
      </c>
      <c r="G10" s="107"/>
      <c r="H10" s="107"/>
      <c r="I10" s="107" t="s">
        <v>810</v>
      </c>
      <c r="J10" s="37"/>
      <c r="K10" s="88" t="s">
        <v>806</v>
      </c>
      <c r="L10" s="29">
        <v>0</v>
      </c>
      <c r="M10" s="29">
        <v>2</v>
      </c>
      <c r="N10" s="37">
        <f t="shared" si="0"/>
        <v>8</v>
      </c>
      <c r="O10" s="31">
        <v>34863.4</v>
      </c>
      <c r="P10" s="31">
        <f t="shared" si="1"/>
        <v>30316.000000000004</v>
      </c>
      <c r="Q10" s="31">
        <f t="shared" si="2"/>
        <v>242528.00000000003</v>
      </c>
      <c r="R10" s="31">
        <f>Tabella2810[[#This Row],[Importo 48 mesi]]*0.005</f>
        <v>1212.6400000000001</v>
      </c>
      <c r="S10" s="31">
        <f>SUM(Tabella2810[[#This Row],[Importo 48 mesi]:[Importo stimato per ricambi]])</f>
        <v>243740.64000000004</v>
      </c>
      <c r="T10" s="55"/>
    </row>
    <row r="11" spans="1:21" ht="115.2">
      <c r="A11" s="33" t="s">
        <v>49</v>
      </c>
      <c r="B11" s="54" t="s">
        <v>818</v>
      </c>
      <c r="C11" s="36"/>
      <c r="D11" s="45" t="s">
        <v>407</v>
      </c>
      <c r="E11" s="45" t="s">
        <v>819</v>
      </c>
      <c r="F11" s="107" t="s">
        <v>820</v>
      </c>
      <c r="G11" s="107"/>
      <c r="H11" s="107"/>
      <c r="I11" s="107" t="s">
        <v>810</v>
      </c>
      <c r="J11" s="37"/>
      <c r="K11" s="88" t="s">
        <v>806</v>
      </c>
      <c r="L11" s="29">
        <v>0</v>
      </c>
      <c r="M11" s="29">
        <v>2</v>
      </c>
      <c r="N11" s="37">
        <f t="shared" si="0"/>
        <v>8</v>
      </c>
      <c r="O11" s="31">
        <v>13813.8</v>
      </c>
      <c r="P11" s="31">
        <f t="shared" si="1"/>
        <v>12012</v>
      </c>
      <c r="Q11" s="31">
        <f t="shared" si="2"/>
        <v>96096</v>
      </c>
      <c r="R11" s="31">
        <f>Tabella2810[[#This Row],[Importo 48 mesi]]*0.005</f>
        <v>480.48</v>
      </c>
      <c r="S11" s="31">
        <f>SUM(Tabella2810[[#This Row],[Importo 48 mesi]:[Importo stimato per ricambi]])</f>
        <v>96576.48</v>
      </c>
      <c r="T11" s="55"/>
    </row>
    <row r="12" spans="1:21" ht="158.4">
      <c r="A12" s="33" t="s">
        <v>49</v>
      </c>
      <c r="B12" s="54" t="s">
        <v>821</v>
      </c>
      <c r="C12" s="36"/>
      <c r="D12" s="45" t="s">
        <v>822</v>
      </c>
      <c r="E12" s="45" t="s">
        <v>823</v>
      </c>
      <c r="F12" s="107" t="s">
        <v>824</v>
      </c>
      <c r="G12" s="107"/>
      <c r="H12" s="107"/>
      <c r="I12" s="107" t="s">
        <v>825</v>
      </c>
      <c r="J12" s="37"/>
      <c r="K12" s="88" t="s">
        <v>806</v>
      </c>
      <c r="L12" s="29">
        <v>0</v>
      </c>
      <c r="M12" s="29">
        <v>2</v>
      </c>
      <c r="N12" s="37">
        <f t="shared" si="0"/>
        <v>8</v>
      </c>
      <c r="O12" s="31">
        <v>22617.05</v>
      </c>
      <c r="P12" s="31">
        <f t="shared" si="1"/>
        <v>19667</v>
      </c>
      <c r="Q12" s="31">
        <f t="shared" si="2"/>
        <v>157336</v>
      </c>
      <c r="R12" s="31">
        <f>Tabella2810[[#This Row],[Importo 48 mesi]]*0.005</f>
        <v>786.68000000000006</v>
      </c>
      <c r="S12" s="31">
        <f>SUM(Tabella2810[[#This Row],[Importo 48 mesi]:[Importo stimato per ricambi]])</f>
        <v>158122.68</v>
      </c>
      <c r="T12" s="55"/>
    </row>
    <row r="13" spans="1:21" ht="158.4">
      <c r="A13" s="33" t="s">
        <v>49</v>
      </c>
      <c r="B13" s="54" t="s">
        <v>826</v>
      </c>
      <c r="C13" s="36"/>
      <c r="D13" s="45" t="s">
        <v>822</v>
      </c>
      <c r="E13" s="45" t="s">
        <v>827</v>
      </c>
      <c r="F13" s="107" t="s">
        <v>824</v>
      </c>
      <c r="G13" s="107"/>
      <c r="H13" s="107"/>
      <c r="I13" s="107" t="s">
        <v>828</v>
      </c>
      <c r="J13" s="37"/>
      <c r="K13" s="88" t="s">
        <v>806</v>
      </c>
      <c r="L13" s="29">
        <v>0</v>
      </c>
      <c r="M13" s="29">
        <v>2</v>
      </c>
      <c r="N13" s="37">
        <f t="shared" si="0"/>
        <v>8</v>
      </c>
      <c r="O13" s="31">
        <v>29601</v>
      </c>
      <c r="P13" s="31">
        <f t="shared" si="1"/>
        <v>25740.000000000004</v>
      </c>
      <c r="Q13" s="31">
        <f t="shared" si="2"/>
        <v>205920.00000000003</v>
      </c>
      <c r="R13" s="31">
        <f>Tabella2810[[#This Row],[Importo 48 mesi]]*0.005</f>
        <v>1029.6000000000001</v>
      </c>
      <c r="S13" s="31">
        <f>SUM(Tabella2810[[#This Row],[Importo 48 mesi]:[Importo stimato per ricambi]])</f>
        <v>206949.60000000003</v>
      </c>
      <c r="T13" s="55"/>
    </row>
    <row r="14" spans="1:21" ht="158.4">
      <c r="A14" s="33" t="s">
        <v>49</v>
      </c>
      <c r="B14" s="54" t="s">
        <v>829</v>
      </c>
      <c r="C14" s="36"/>
      <c r="D14" s="45" t="s">
        <v>822</v>
      </c>
      <c r="E14" s="45" t="s">
        <v>830</v>
      </c>
      <c r="F14" s="107" t="s">
        <v>824</v>
      </c>
      <c r="G14" s="107"/>
      <c r="H14" s="107"/>
      <c r="I14" s="107" t="s">
        <v>828</v>
      </c>
      <c r="J14" s="37"/>
      <c r="K14" s="88" t="s">
        <v>806</v>
      </c>
      <c r="L14" s="29">
        <v>0</v>
      </c>
      <c r="M14" s="29">
        <v>2</v>
      </c>
      <c r="N14" s="37">
        <f t="shared" si="0"/>
        <v>8</v>
      </c>
      <c r="O14" s="31">
        <v>34863.4</v>
      </c>
      <c r="P14" s="31">
        <f t="shared" si="1"/>
        <v>30316.000000000004</v>
      </c>
      <c r="Q14" s="31">
        <f t="shared" si="2"/>
        <v>242528.00000000003</v>
      </c>
      <c r="R14" s="31">
        <f>Tabella2810[[#This Row],[Importo 48 mesi]]*0.005</f>
        <v>1212.6400000000001</v>
      </c>
      <c r="S14" s="31">
        <f>SUM(Tabella2810[[#This Row],[Importo 48 mesi]:[Importo stimato per ricambi]])</f>
        <v>243740.64000000004</v>
      </c>
      <c r="T14" s="55"/>
    </row>
    <row r="15" spans="1:21" ht="158.4">
      <c r="A15" s="33" t="s">
        <v>49</v>
      </c>
      <c r="B15" s="54" t="s">
        <v>831</v>
      </c>
      <c r="C15" s="36"/>
      <c r="D15" s="45" t="s">
        <v>822</v>
      </c>
      <c r="E15" s="45" t="s">
        <v>832</v>
      </c>
      <c r="F15" s="107" t="s">
        <v>824</v>
      </c>
      <c r="G15" s="107"/>
      <c r="H15" s="107"/>
      <c r="I15" s="107" t="s">
        <v>828</v>
      </c>
      <c r="J15" s="37"/>
      <c r="K15" s="88" t="s">
        <v>806</v>
      </c>
      <c r="L15" s="29">
        <v>0</v>
      </c>
      <c r="M15" s="29">
        <v>2</v>
      </c>
      <c r="N15" s="37">
        <f t="shared" si="0"/>
        <v>8</v>
      </c>
      <c r="O15" s="31">
        <v>40125.800000000003</v>
      </c>
      <c r="P15" s="31">
        <f t="shared" si="1"/>
        <v>34892.000000000007</v>
      </c>
      <c r="Q15" s="31">
        <f t="shared" si="2"/>
        <v>279136.00000000006</v>
      </c>
      <c r="R15" s="31">
        <f>Tabella2810[[#This Row],[Importo 48 mesi]]*0.005</f>
        <v>1395.6800000000003</v>
      </c>
      <c r="S15" s="31">
        <f>SUM(Tabella2810[[#This Row],[Importo 48 mesi]:[Importo stimato per ricambi]])</f>
        <v>280531.68000000005</v>
      </c>
      <c r="T15" s="55"/>
      <c r="U15" s="44"/>
    </row>
    <row r="16" spans="1:21" s="23" customFormat="1" ht="115.2">
      <c r="A16" s="33" t="s">
        <v>49</v>
      </c>
      <c r="B16" s="54" t="s">
        <v>833</v>
      </c>
      <c r="C16" s="36"/>
      <c r="D16" s="45" t="s">
        <v>834</v>
      </c>
      <c r="E16" s="45" t="s">
        <v>835</v>
      </c>
      <c r="F16" s="107" t="s">
        <v>836</v>
      </c>
      <c r="G16" s="107"/>
      <c r="H16" s="107"/>
      <c r="I16" s="107" t="s">
        <v>837</v>
      </c>
      <c r="J16" s="37"/>
      <c r="K16" s="88" t="s">
        <v>806</v>
      </c>
      <c r="L16" s="29">
        <v>0</v>
      </c>
      <c r="M16" s="29">
        <v>30</v>
      </c>
      <c r="N16" s="37">
        <f t="shared" si="0"/>
        <v>120</v>
      </c>
      <c r="O16" s="31">
        <v>5262.4</v>
      </c>
      <c r="P16" s="31">
        <f t="shared" si="1"/>
        <v>4576</v>
      </c>
      <c r="Q16" s="31">
        <f t="shared" si="2"/>
        <v>549120</v>
      </c>
      <c r="R16" s="31">
        <f>Tabella2810[[#This Row],[Importo 48 mesi]]*0.02</f>
        <v>10982.4</v>
      </c>
      <c r="S16" s="31">
        <f>SUM(Tabella2810[[#This Row],[Importo 48 mesi]:[Importo stimato per ricambi]])</f>
        <v>560102.40000000002</v>
      </c>
      <c r="T16" s="55"/>
    </row>
    <row r="17" spans="1:20" ht="187.2">
      <c r="A17" s="33" t="s">
        <v>49</v>
      </c>
      <c r="B17" s="54" t="s">
        <v>838</v>
      </c>
      <c r="C17" s="36"/>
      <c r="D17" s="45" t="s">
        <v>839</v>
      </c>
      <c r="E17" s="45" t="s">
        <v>1342</v>
      </c>
      <c r="F17" s="107" t="s">
        <v>840</v>
      </c>
      <c r="G17" s="107"/>
      <c r="H17" s="107"/>
      <c r="I17" s="107" t="s">
        <v>841</v>
      </c>
      <c r="J17" s="37"/>
      <c r="K17" s="88" t="s">
        <v>781</v>
      </c>
      <c r="L17" s="149">
        <v>122</v>
      </c>
      <c r="M17" s="149">
        <v>98</v>
      </c>
      <c r="N17" s="37">
        <f t="shared" si="0"/>
        <v>392</v>
      </c>
      <c r="O17" s="31">
        <v>8854.1375000000007</v>
      </c>
      <c r="P17" s="31">
        <f t="shared" si="1"/>
        <v>7699.2500000000009</v>
      </c>
      <c r="Q17" s="31">
        <f t="shared" si="2"/>
        <v>3018106.0000000005</v>
      </c>
      <c r="R17" s="31">
        <f>Tabella2810[[#This Row],[Importo 48 mesi]]*0.06</f>
        <v>181086.36000000002</v>
      </c>
      <c r="S17" s="31">
        <f>SUM(Tabella2810[[#This Row],[Importo 48 mesi]:[Importo stimato per ricambi]])</f>
        <v>3199192.3600000003</v>
      </c>
      <c r="T17" s="55"/>
    </row>
    <row r="18" spans="1:20" ht="100.8">
      <c r="A18" s="33" t="s">
        <v>49</v>
      </c>
      <c r="B18" s="54" t="s">
        <v>842</v>
      </c>
      <c r="C18" s="36"/>
      <c r="D18" s="45" t="s">
        <v>426</v>
      </c>
      <c r="E18" s="45" t="s">
        <v>843</v>
      </c>
      <c r="F18" s="107" t="s">
        <v>844</v>
      </c>
      <c r="G18" s="162"/>
      <c r="H18" s="162"/>
      <c r="I18" s="162" t="s">
        <v>845</v>
      </c>
      <c r="J18" s="45"/>
      <c r="K18" s="47" t="s">
        <v>846</v>
      </c>
      <c r="L18" s="29">
        <v>15</v>
      </c>
      <c r="M18" s="29">
        <v>12</v>
      </c>
      <c r="N18" s="37">
        <f t="shared" si="0"/>
        <v>48</v>
      </c>
      <c r="O18" s="31">
        <v>11596.254999999997</v>
      </c>
      <c r="P18" s="31">
        <f t="shared" si="1"/>
        <v>10083.699999999999</v>
      </c>
      <c r="Q18" s="31">
        <f t="shared" si="2"/>
        <v>484017.6</v>
      </c>
      <c r="R18" s="31">
        <f>Tabella2810[[#This Row],[Importo 48 mesi]]*0.05</f>
        <v>24200.880000000001</v>
      </c>
      <c r="S18" s="31">
        <f>SUM(Tabella2810[[#This Row],[Importo 48 mesi]:[Importo stimato per ricambi]])</f>
        <v>508218.48</v>
      </c>
      <c r="T18" s="55"/>
    </row>
    <row r="19" spans="1:20" ht="86.4">
      <c r="A19" s="33" t="s">
        <v>49</v>
      </c>
      <c r="B19" s="54" t="s">
        <v>847</v>
      </c>
      <c r="C19" s="36"/>
      <c r="D19" s="45" t="s">
        <v>457</v>
      </c>
      <c r="E19" s="45" t="s">
        <v>848</v>
      </c>
      <c r="F19" s="107" t="s">
        <v>849</v>
      </c>
      <c r="G19" s="107"/>
      <c r="H19" s="107"/>
      <c r="I19" s="107" t="s">
        <v>850</v>
      </c>
      <c r="J19" s="37"/>
      <c r="K19" s="88" t="s">
        <v>851</v>
      </c>
      <c r="L19" s="29">
        <v>12</v>
      </c>
      <c r="M19" s="29">
        <v>27</v>
      </c>
      <c r="N19" s="37">
        <f t="shared" si="0"/>
        <v>108</v>
      </c>
      <c r="O19" s="31">
        <v>2149.35</v>
      </c>
      <c r="P19" s="31">
        <f t="shared" si="1"/>
        <v>1869</v>
      </c>
      <c r="Q19" s="31">
        <f t="shared" si="2"/>
        <v>201852</v>
      </c>
      <c r="R19" s="31">
        <f>Tabella2810[[#This Row],[Importo 48 mesi]]*0.01</f>
        <v>2018.52</v>
      </c>
      <c r="S19" s="31">
        <f>SUM(Tabella2810[[#This Row],[Importo 48 mesi]:[Importo stimato per ricambi]])</f>
        <v>203870.52</v>
      </c>
      <c r="T19" s="55"/>
    </row>
    <row r="20" spans="1:20" ht="86.4">
      <c r="A20" s="33" t="s">
        <v>49</v>
      </c>
      <c r="B20" s="54" t="s">
        <v>852</v>
      </c>
      <c r="C20" s="36"/>
      <c r="D20" s="45" t="s">
        <v>853</v>
      </c>
      <c r="E20" s="45" t="s">
        <v>854</v>
      </c>
      <c r="F20" s="107" t="s">
        <v>855</v>
      </c>
      <c r="G20" s="107"/>
      <c r="H20" s="107"/>
      <c r="I20" s="107" t="s">
        <v>856</v>
      </c>
      <c r="J20" s="37"/>
      <c r="K20" s="88" t="s">
        <v>781</v>
      </c>
      <c r="L20" s="29">
        <v>1101</v>
      </c>
      <c r="M20" s="29">
        <v>826</v>
      </c>
      <c r="N20" s="37">
        <f t="shared" si="0"/>
        <v>3304</v>
      </c>
      <c r="O20" s="31">
        <v>986.68849999999998</v>
      </c>
      <c r="P20" s="31">
        <f t="shared" si="1"/>
        <v>857.99</v>
      </c>
      <c r="Q20" s="31">
        <f t="shared" si="2"/>
        <v>2834798.96</v>
      </c>
      <c r="R20" s="31">
        <v>0</v>
      </c>
      <c r="S20" s="31">
        <f>SUM(Tabella2810[[#This Row],[Importo 48 mesi]:[Importo stimato per ricambi]])</f>
        <v>2834798.96</v>
      </c>
      <c r="T20" s="55"/>
    </row>
    <row r="21" spans="1:20" ht="187.2">
      <c r="A21" s="33" t="s">
        <v>49</v>
      </c>
      <c r="B21" s="54" t="s">
        <v>857</v>
      </c>
      <c r="C21" s="36"/>
      <c r="D21" s="45" t="s">
        <v>858</v>
      </c>
      <c r="E21" s="45" t="s">
        <v>1343</v>
      </c>
      <c r="F21" s="107" t="s">
        <v>859</v>
      </c>
      <c r="G21" s="107"/>
      <c r="H21" s="107"/>
      <c r="I21" s="107" t="s">
        <v>860</v>
      </c>
      <c r="J21" s="37"/>
      <c r="K21" s="88" t="s">
        <v>781</v>
      </c>
      <c r="L21" s="29">
        <v>55</v>
      </c>
      <c r="M21" s="29">
        <v>68</v>
      </c>
      <c r="N21" s="37">
        <f t="shared" si="0"/>
        <v>272</v>
      </c>
      <c r="O21" s="31">
        <v>94.167749999999998</v>
      </c>
      <c r="P21" s="31">
        <f t="shared" si="1"/>
        <v>81.885000000000005</v>
      </c>
      <c r="Q21" s="31">
        <f t="shared" si="2"/>
        <v>22272.720000000001</v>
      </c>
      <c r="R21" s="31">
        <f>Tabella2810[[#This Row],[Importo 48 mesi]]*0.01</f>
        <v>222.72720000000001</v>
      </c>
      <c r="S21" s="31">
        <f>SUM(Tabella2810[[#This Row],[Importo 48 mesi]:[Importo stimato per ricambi]])</f>
        <v>22495.447200000002</v>
      </c>
      <c r="T21" s="55"/>
    </row>
    <row r="22" spans="1:20" ht="115.2">
      <c r="A22" s="33" t="s">
        <v>49</v>
      </c>
      <c r="B22" s="54" t="s">
        <v>861</v>
      </c>
      <c r="C22" s="36"/>
      <c r="D22" s="45" t="s">
        <v>862</v>
      </c>
      <c r="E22" s="45" t="s">
        <v>863</v>
      </c>
      <c r="F22" s="107" t="s">
        <v>864</v>
      </c>
      <c r="G22" s="107"/>
      <c r="H22" s="107"/>
      <c r="I22" s="107" t="s">
        <v>433</v>
      </c>
      <c r="J22" s="37"/>
      <c r="K22" s="47" t="s">
        <v>846</v>
      </c>
      <c r="L22" s="29">
        <v>26</v>
      </c>
      <c r="M22" s="29">
        <v>27</v>
      </c>
      <c r="N22" s="37">
        <f t="shared" si="0"/>
        <v>108</v>
      </c>
      <c r="O22" s="31">
        <v>587.65</v>
      </c>
      <c r="P22" s="31">
        <f t="shared" si="1"/>
        <v>511</v>
      </c>
      <c r="Q22" s="31">
        <f t="shared" si="2"/>
        <v>55188</v>
      </c>
      <c r="R22" s="31">
        <f>Tabella2810[[#This Row],[Importo 48 mesi]]*0.01</f>
        <v>551.88</v>
      </c>
      <c r="S22" s="31">
        <f>SUM(Tabella2810[[#This Row],[Importo 48 mesi]:[Importo stimato per ricambi]])</f>
        <v>55739.88</v>
      </c>
      <c r="T22" s="55"/>
    </row>
    <row r="23" spans="1:20" ht="144">
      <c r="A23" s="33" t="s">
        <v>49</v>
      </c>
      <c r="B23" s="54" t="s">
        <v>865</v>
      </c>
      <c r="C23" s="36"/>
      <c r="D23" s="45" t="s">
        <v>429</v>
      </c>
      <c r="E23" s="45" t="s">
        <v>1344</v>
      </c>
      <c r="F23" s="107" t="s">
        <v>866</v>
      </c>
      <c r="G23" s="107"/>
      <c r="H23" s="107"/>
      <c r="I23" s="107" t="s">
        <v>433</v>
      </c>
      <c r="J23" s="37"/>
      <c r="K23" s="88" t="s">
        <v>781</v>
      </c>
      <c r="L23" s="29">
        <v>9</v>
      </c>
      <c r="M23" s="29">
        <v>45</v>
      </c>
      <c r="N23" s="37">
        <f t="shared" si="0"/>
        <v>180</v>
      </c>
      <c r="O23" s="31">
        <v>1563.5399999999997</v>
      </c>
      <c r="P23" s="31">
        <f t="shared" si="1"/>
        <v>1359.6</v>
      </c>
      <c r="Q23" s="31">
        <f t="shared" si="2"/>
        <v>244727.99999999997</v>
      </c>
      <c r="R23" s="31">
        <f>Tabella2810[[#This Row],[Importo 48 mesi]]*0.01</f>
        <v>2447.2799999999997</v>
      </c>
      <c r="S23" s="31">
        <f>SUM(Tabella2810[[#This Row],[Importo 48 mesi]:[Importo stimato per ricambi]])</f>
        <v>247175.27999999997</v>
      </c>
      <c r="T23" s="55"/>
    </row>
    <row r="24" spans="1:20" ht="187.2">
      <c r="A24" s="33" t="s">
        <v>49</v>
      </c>
      <c r="B24" s="54" t="s">
        <v>867</v>
      </c>
      <c r="C24" s="36"/>
      <c r="D24" s="45" t="s">
        <v>868</v>
      </c>
      <c r="E24" s="45" t="s">
        <v>1345</v>
      </c>
      <c r="F24" s="107" t="s">
        <v>859</v>
      </c>
      <c r="G24" s="107"/>
      <c r="H24" s="107"/>
      <c r="I24" s="107" t="s">
        <v>869</v>
      </c>
      <c r="J24" s="37"/>
      <c r="K24" s="88" t="s">
        <v>781</v>
      </c>
      <c r="L24" s="29">
        <v>49</v>
      </c>
      <c r="M24" s="29">
        <v>38</v>
      </c>
      <c r="N24" s="37">
        <f t="shared" si="0"/>
        <v>152</v>
      </c>
      <c r="O24" s="31">
        <v>170.56799999999998</v>
      </c>
      <c r="P24" s="31">
        <f t="shared" si="1"/>
        <v>148.32</v>
      </c>
      <c r="Q24" s="31">
        <f t="shared" si="2"/>
        <v>22544.639999999999</v>
      </c>
      <c r="R24" s="31">
        <f>Tabella2810[[#This Row],[Importo 48 mesi]]*0.01</f>
        <v>225.44640000000001</v>
      </c>
      <c r="S24" s="31">
        <f>SUM(Tabella2810[[#This Row],[Importo 48 mesi]:[Importo stimato per ricambi]])</f>
        <v>22770.0864</v>
      </c>
      <c r="T24" s="55"/>
    </row>
    <row r="25" spans="1:20" ht="115.2">
      <c r="A25" s="33" t="s">
        <v>49</v>
      </c>
      <c r="B25" s="54" t="s">
        <v>870</v>
      </c>
      <c r="C25" s="36"/>
      <c r="D25" s="45" t="s">
        <v>871</v>
      </c>
      <c r="E25" s="45" t="s">
        <v>872</v>
      </c>
      <c r="F25" s="107" t="s">
        <v>873</v>
      </c>
      <c r="G25" s="107"/>
      <c r="H25" s="107"/>
      <c r="I25" s="107" t="s">
        <v>433</v>
      </c>
      <c r="J25" s="37"/>
      <c r="K25" s="88" t="s">
        <v>781</v>
      </c>
      <c r="L25" s="29">
        <v>0</v>
      </c>
      <c r="M25" s="29">
        <v>3</v>
      </c>
      <c r="N25" s="37">
        <f t="shared" si="0"/>
        <v>12</v>
      </c>
      <c r="O25" s="31">
        <v>1213.52025</v>
      </c>
      <c r="P25" s="31">
        <f t="shared" si="1"/>
        <v>1055.2350000000001</v>
      </c>
      <c r="Q25" s="31">
        <f t="shared" si="2"/>
        <v>12662.820000000002</v>
      </c>
      <c r="R25" s="31">
        <f>Tabella2810[[#This Row],[Importo 48 mesi]]*0.01</f>
        <v>126.62820000000002</v>
      </c>
      <c r="S25" s="31">
        <f>SUM(Tabella2810[[#This Row],[Importo 48 mesi]:[Importo stimato per ricambi]])</f>
        <v>12789.448200000001</v>
      </c>
      <c r="T25" s="55"/>
    </row>
    <row r="26" spans="1:20" ht="115.2">
      <c r="A26" s="33" t="s">
        <v>49</v>
      </c>
      <c r="B26" s="54" t="s">
        <v>874</v>
      </c>
      <c r="C26" s="36"/>
      <c r="D26" s="45" t="s">
        <v>432</v>
      </c>
      <c r="E26" s="45" t="s">
        <v>875</v>
      </c>
      <c r="F26" s="107" t="s">
        <v>876</v>
      </c>
      <c r="G26" s="107"/>
      <c r="H26" s="107"/>
      <c r="I26" s="107" t="s">
        <v>433</v>
      </c>
      <c r="J26" s="37"/>
      <c r="K26" s="88" t="s">
        <v>781</v>
      </c>
      <c r="L26" s="29">
        <v>0</v>
      </c>
      <c r="M26" s="29">
        <v>12</v>
      </c>
      <c r="N26" s="37">
        <f t="shared" si="0"/>
        <v>48</v>
      </c>
      <c r="O26" s="31">
        <v>2724.35</v>
      </c>
      <c r="P26" s="31">
        <f t="shared" si="1"/>
        <v>2369</v>
      </c>
      <c r="Q26" s="31">
        <f t="shared" si="2"/>
        <v>113712</v>
      </c>
      <c r="R26" s="31">
        <f>Tabella2810[[#This Row],[Importo 48 mesi]]*0.01</f>
        <v>1137.1200000000001</v>
      </c>
      <c r="S26" s="31">
        <f>SUM(Tabella2810[[#This Row],[Importo 48 mesi]:[Importo stimato per ricambi]])</f>
        <v>114849.12</v>
      </c>
      <c r="T26" s="55"/>
    </row>
    <row r="27" spans="1:20" ht="115.2">
      <c r="A27" s="33" t="s">
        <v>49</v>
      </c>
      <c r="B27" s="54" t="s">
        <v>877</v>
      </c>
      <c r="C27" s="36"/>
      <c r="D27" s="45" t="s">
        <v>435</v>
      </c>
      <c r="E27" s="45" t="s">
        <v>878</v>
      </c>
      <c r="F27" s="107" t="s">
        <v>879</v>
      </c>
      <c r="G27" s="107"/>
      <c r="H27" s="107"/>
      <c r="I27" s="107" t="s">
        <v>880</v>
      </c>
      <c r="J27" s="37"/>
      <c r="K27" s="88" t="s">
        <v>781</v>
      </c>
      <c r="L27" s="29">
        <v>6</v>
      </c>
      <c r="M27" s="29">
        <v>9</v>
      </c>
      <c r="N27" s="37">
        <f t="shared" si="0"/>
        <v>36</v>
      </c>
      <c r="O27" s="31">
        <v>6573.9749999999995</v>
      </c>
      <c r="P27" s="31">
        <f t="shared" si="1"/>
        <v>5716.5</v>
      </c>
      <c r="Q27" s="31">
        <f t="shared" si="2"/>
        <v>205794</v>
      </c>
      <c r="R27" s="31">
        <v>0</v>
      </c>
      <c r="S27" s="31">
        <f>SUM(Tabella2810[[#This Row],[Importo 48 mesi]:[Importo stimato per ricambi]])</f>
        <v>205794</v>
      </c>
      <c r="T27" s="55"/>
    </row>
    <row r="28" spans="1:20" ht="129.6">
      <c r="A28" s="33" t="s">
        <v>49</v>
      </c>
      <c r="B28" s="54" t="s">
        <v>881</v>
      </c>
      <c r="C28" s="36"/>
      <c r="D28" s="45" t="s">
        <v>882</v>
      </c>
      <c r="E28" s="45" t="s">
        <v>1346</v>
      </c>
      <c r="F28" s="107" t="s">
        <v>883</v>
      </c>
      <c r="G28" s="107"/>
      <c r="H28" s="107"/>
      <c r="I28" s="107" t="s">
        <v>433</v>
      </c>
      <c r="J28" s="37"/>
      <c r="K28" s="88" t="s">
        <v>781</v>
      </c>
      <c r="L28" s="29">
        <v>65</v>
      </c>
      <c r="M28" s="29">
        <v>49</v>
      </c>
      <c r="N28" s="37">
        <f t="shared" si="0"/>
        <v>196</v>
      </c>
      <c r="O28" s="31">
        <v>358.90349999999995</v>
      </c>
      <c r="P28" s="31">
        <f t="shared" si="1"/>
        <v>312.08999999999997</v>
      </c>
      <c r="Q28" s="31">
        <f t="shared" si="2"/>
        <v>61169.639999999992</v>
      </c>
      <c r="R28" s="31">
        <f>Tabella2810[[#This Row],[Importo 48 mesi]]*0.01</f>
        <v>611.69639999999993</v>
      </c>
      <c r="S28" s="31">
        <f>SUM(Tabella2810[[#This Row],[Importo 48 mesi]:[Importo stimato per ricambi]])</f>
        <v>61781.336399999993</v>
      </c>
      <c r="T28" s="55"/>
    </row>
    <row r="29" spans="1:20" ht="115.2">
      <c r="A29" s="33" t="s">
        <v>49</v>
      </c>
      <c r="B29" s="54" t="s">
        <v>884</v>
      </c>
      <c r="C29" s="36"/>
      <c r="D29" s="45" t="s">
        <v>885</v>
      </c>
      <c r="E29" s="45" t="s">
        <v>886</v>
      </c>
      <c r="F29" s="107" t="s">
        <v>887</v>
      </c>
      <c r="G29" s="107"/>
      <c r="H29" s="107"/>
      <c r="I29" s="107" t="s">
        <v>888</v>
      </c>
      <c r="J29" s="37"/>
      <c r="K29" s="88" t="s">
        <v>889</v>
      </c>
      <c r="L29" s="29">
        <v>0</v>
      </c>
      <c r="M29" s="29">
        <v>19</v>
      </c>
      <c r="N29" s="37">
        <f t="shared" si="0"/>
        <v>76</v>
      </c>
      <c r="O29" s="31">
        <v>919.99999999999989</v>
      </c>
      <c r="P29" s="31">
        <f t="shared" si="1"/>
        <v>800</v>
      </c>
      <c r="Q29" s="31">
        <f t="shared" si="2"/>
        <v>60800</v>
      </c>
      <c r="R29" s="31">
        <v>0</v>
      </c>
      <c r="S29" s="31">
        <f>SUM(Tabella2810[[#This Row],[Importo 48 mesi]:[Importo stimato per ricambi]])</f>
        <v>60800</v>
      </c>
      <c r="T29" s="55"/>
    </row>
    <row r="30" spans="1:20" ht="115.2">
      <c r="A30" s="33" t="s">
        <v>49</v>
      </c>
      <c r="B30" s="54" t="s">
        <v>890</v>
      </c>
      <c r="C30" s="36"/>
      <c r="D30" s="45" t="s">
        <v>392</v>
      </c>
      <c r="E30" s="45" t="s">
        <v>1347</v>
      </c>
      <c r="F30" s="107" t="s">
        <v>891</v>
      </c>
      <c r="G30" s="107"/>
      <c r="H30" s="107"/>
      <c r="I30" s="107" t="s">
        <v>892</v>
      </c>
      <c r="J30" s="37"/>
      <c r="K30" s="88" t="s">
        <v>781</v>
      </c>
      <c r="L30" s="29">
        <v>9</v>
      </c>
      <c r="M30" s="29">
        <v>8</v>
      </c>
      <c r="N30" s="37">
        <f t="shared" si="0"/>
        <v>32</v>
      </c>
      <c r="O30" s="31">
        <v>3227.7624999999998</v>
      </c>
      <c r="P30" s="31">
        <f t="shared" si="1"/>
        <v>2806.75</v>
      </c>
      <c r="Q30" s="31">
        <f t="shared" si="2"/>
        <v>89816</v>
      </c>
      <c r="R30" s="31">
        <f>Tabella2810[[#This Row],[Importo 48 mesi]]*0.01</f>
        <v>898.16</v>
      </c>
      <c r="S30" s="31">
        <f>SUM(Tabella2810[[#This Row],[Importo 48 mesi]:[Importo stimato per ricambi]])</f>
        <v>90714.16</v>
      </c>
      <c r="T30" s="55"/>
    </row>
    <row r="31" spans="1:20" ht="158.4">
      <c r="A31" s="33" t="s">
        <v>49</v>
      </c>
      <c r="B31" s="54" t="s">
        <v>893</v>
      </c>
      <c r="C31" s="36"/>
      <c r="D31" s="45" t="s">
        <v>1293</v>
      </c>
      <c r="E31" s="45" t="s">
        <v>1348</v>
      </c>
      <c r="F31" s="107" t="s">
        <v>894</v>
      </c>
      <c r="G31" s="107"/>
      <c r="H31" s="107"/>
      <c r="I31" s="107" t="s">
        <v>895</v>
      </c>
      <c r="J31" s="37"/>
      <c r="K31" s="88" t="s">
        <v>781</v>
      </c>
      <c r="L31" s="29">
        <v>0</v>
      </c>
      <c r="M31" s="29">
        <v>3</v>
      </c>
      <c r="N31" s="37">
        <f t="shared" si="0"/>
        <v>12</v>
      </c>
      <c r="O31" s="31">
        <v>6252.9754999999996</v>
      </c>
      <c r="P31" s="31">
        <f t="shared" si="1"/>
        <v>5437.37</v>
      </c>
      <c r="Q31" s="31">
        <f t="shared" si="2"/>
        <v>65248.44</v>
      </c>
      <c r="R31" s="31">
        <f>Tabella2810[[#This Row],[Importo 48 mesi]]*0.01</f>
        <v>652.48440000000005</v>
      </c>
      <c r="S31" s="31">
        <f>SUM(Tabella2810[[#This Row],[Importo 48 mesi]:[Importo stimato per ricambi]])</f>
        <v>65900.924400000004</v>
      </c>
      <c r="T31" s="55"/>
    </row>
    <row r="32" spans="1:20" ht="158.4">
      <c r="A32" s="33" t="s">
        <v>49</v>
      </c>
      <c r="B32" s="54" t="s">
        <v>896</v>
      </c>
      <c r="C32" s="36"/>
      <c r="D32" s="45" t="s">
        <v>1349</v>
      </c>
      <c r="E32" s="45" t="s">
        <v>1350</v>
      </c>
      <c r="F32" s="107" t="s">
        <v>897</v>
      </c>
      <c r="G32" s="107"/>
      <c r="H32" s="107"/>
      <c r="I32" s="107" t="s">
        <v>895</v>
      </c>
      <c r="J32" s="37"/>
      <c r="K32" s="88" t="s">
        <v>781</v>
      </c>
      <c r="L32" s="29">
        <v>1</v>
      </c>
      <c r="M32" s="29">
        <v>3</v>
      </c>
      <c r="N32" s="37">
        <f t="shared" si="0"/>
        <v>12</v>
      </c>
      <c r="O32" s="31">
        <v>47488.974000000002</v>
      </c>
      <c r="P32" s="31">
        <f t="shared" si="1"/>
        <v>41294.76</v>
      </c>
      <c r="Q32" s="31">
        <f t="shared" si="2"/>
        <v>495537.12</v>
      </c>
      <c r="R32" s="31">
        <f>Tabella2810[[#This Row],[Importo 48 mesi]]*0.01</f>
        <v>4955.3712000000005</v>
      </c>
      <c r="S32" s="31">
        <f>SUM(Tabella2810[[#This Row],[Importo 48 mesi]:[Importo stimato per ricambi]])</f>
        <v>500492.49119999999</v>
      </c>
      <c r="T32" s="55"/>
    </row>
    <row r="33" spans="1:20" ht="115.2">
      <c r="A33" s="33" t="s">
        <v>49</v>
      </c>
      <c r="B33" s="54" t="s">
        <v>898</v>
      </c>
      <c r="C33" s="36"/>
      <c r="D33" s="45" t="s">
        <v>442</v>
      </c>
      <c r="E33" s="45" t="s">
        <v>899</v>
      </c>
      <c r="F33" s="107" t="s">
        <v>900</v>
      </c>
      <c r="G33" s="107"/>
      <c r="H33" s="107"/>
      <c r="I33" s="107" t="s">
        <v>901</v>
      </c>
      <c r="J33" s="37"/>
      <c r="K33" s="88" t="s">
        <v>781</v>
      </c>
      <c r="L33" s="29">
        <v>15</v>
      </c>
      <c r="M33" s="29">
        <v>15</v>
      </c>
      <c r="N33" s="37">
        <f t="shared" si="0"/>
        <v>60</v>
      </c>
      <c r="O33" s="31">
        <v>2185.4025000000001</v>
      </c>
      <c r="P33" s="31">
        <f t="shared" si="1"/>
        <v>1900.3500000000004</v>
      </c>
      <c r="Q33" s="31">
        <f t="shared" si="2"/>
        <v>114021.00000000003</v>
      </c>
      <c r="R33" s="31">
        <f>Tabella2810[[#This Row],[Importo 48 mesi]]*0.01</f>
        <v>1140.2100000000003</v>
      </c>
      <c r="S33" s="31">
        <f>SUM(Tabella2810[[#This Row],[Importo 48 mesi]:[Importo stimato per ricambi]])</f>
        <v>115161.21000000004</v>
      </c>
      <c r="T33" s="55"/>
    </row>
    <row r="34" spans="1:20" s="23" customFormat="1" ht="158.4">
      <c r="A34" s="33" t="s">
        <v>49</v>
      </c>
      <c r="B34" s="54" t="s">
        <v>902</v>
      </c>
      <c r="C34" s="36"/>
      <c r="D34" s="45" t="s">
        <v>460</v>
      </c>
      <c r="E34" s="45" t="s">
        <v>1351</v>
      </c>
      <c r="F34" s="107" t="s">
        <v>903</v>
      </c>
      <c r="G34" s="107"/>
      <c r="H34" s="107"/>
      <c r="I34" s="107" t="s">
        <v>895</v>
      </c>
      <c r="J34" s="37"/>
      <c r="K34" s="88" t="s">
        <v>781</v>
      </c>
      <c r="L34" s="29">
        <v>0</v>
      </c>
      <c r="M34" s="29">
        <v>3</v>
      </c>
      <c r="N34" s="37">
        <f t="shared" si="0"/>
        <v>12</v>
      </c>
      <c r="O34" s="31">
        <v>2553</v>
      </c>
      <c r="P34" s="31">
        <f t="shared" si="1"/>
        <v>2220</v>
      </c>
      <c r="Q34" s="31">
        <f t="shared" si="2"/>
        <v>26640</v>
      </c>
      <c r="R34" s="31">
        <f>Tabella2810[[#This Row],[Importo 48 mesi]]*0.01</f>
        <v>266.39999999999998</v>
      </c>
      <c r="S34" s="31">
        <f>SUM(Tabella2810[[#This Row],[Importo 48 mesi]:[Importo stimato per ricambi]])</f>
        <v>26906.400000000001</v>
      </c>
      <c r="T34" s="55"/>
    </row>
    <row r="35" spans="1:20" ht="129.6">
      <c r="A35" s="33" t="s">
        <v>49</v>
      </c>
      <c r="B35" s="54" t="s">
        <v>904</v>
      </c>
      <c r="C35" s="36"/>
      <c r="D35" s="45" t="s">
        <v>1298</v>
      </c>
      <c r="E35" s="45" t="s">
        <v>1352</v>
      </c>
      <c r="F35" s="107" t="s">
        <v>1353</v>
      </c>
      <c r="G35" s="107"/>
      <c r="H35" s="107"/>
      <c r="I35" s="107" t="s">
        <v>905</v>
      </c>
      <c r="J35" s="37"/>
      <c r="K35" s="88" t="s">
        <v>906</v>
      </c>
      <c r="L35" s="149">
        <v>211</v>
      </c>
      <c r="M35" s="149">
        <v>165</v>
      </c>
      <c r="N35" s="37">
        <f t="shared" si="0"/>
        <v>660</v>
      </c>
      <c r="O35" s="31">
        <v>1047.098</v>
      </c>
      <c r="P35" s="31">
        <f t="shared" si="1"/>
        <v>910.52</v>
      </c>
      <c r="Q35" s="31">
        <f t="shared" si="2"/>
        <v>600943.19999999995</v>
      </c>
      <c r="R35" s="31">
        <v>0</v>
      </c>
      <c r="S35" s="31">
        <f>SUM(Tabella2810[[#This Row],[Importo 48 mesi]:[Importo stimato per ricambi]])</f>
        <v>600943.19999999995</v>
      </c>
      <c r="T35" s="55"/>
    </row>
    <row r="36" spans="1:20" ht="129.6">
      <c r="A36" s="33" t="s">
        <v>49</v>
      </c>
      <c r="B36" s="54" t="s">
        <v>907</v>
      </c>
      <c r="C36" s="36"/>
      <c r="D36" s="45" t="s">
        <v>447</v>
      </c>
      <c r="E36" s="45" t="s">
        <v>448</v>
      </c>
      <c r="F36" s="107" t="s">
        <v>908</v>
      </c>
      <c r="G36" s="107"/>
      <c r="H36" s="107"/>
      <c r="I36" s="107" t="s">
        <v>909</v>
      </c>
      <c r="J36" s="37"/>
      <c r="K36" s="88" t="s">
        <v>781</v>
      </c>
      <c r="L36" s="29">
        <v>0</v>
      </c>
      <c r="M36" s="29">
        <v>4</v>
      </c>
      <c r="N36" s="37">
        <f t="shared" si="0"/>
        <v>16</v>
      </c>
      <c r="O36" s="31">
        <v>779.40099999999995</v>
      </c>
      <c r="P36" s="31">
        <f t="shared" si="1"/>
        <v>677.74</v>
      </c>
      <c r="Q36" s="31">
        <f t="shared" si="2"/>
        <v>10843.84</v>
      </c>
      <c r="R36" s="31">
        <v>0</v>
      </c>
      <c r="S36" s="31">
        <f>SUM(Tabella2810[[#This Row],[Importo 48 mesi]:[Importo stimato per ricambi]])</f>
        <v>10843.84</v>
      </c>
      <c r="T36" s="55"/>
    </row>
    <row r="37" spans="1:20" ht="129.6">
      <c r="A37" s="33" t="s">
        <v>49</v>
      </c>
      <c r="B37" s="54" t="s">
        <v>910</v>
      </c>
      <c r="C37" s="36"/>
      <c r="D37" s="45" t="s">
        <v>451</v>
      </c>
      <c r="E37" s="45" t="s">
        <v>911</v>
      </c>
      <c r="F37" s="107" t="s">
        <v>908</v>
      </c>
      <c r="G37" s="107"/>
      <c r="H37" s="107"/>
      <c r="I37" s="107" t="s">
        <v>909</v>
      </c>
      <c r="J37" s="37"/>
      <c r="K37" s="88" t="s">
        <v>912</v>
      </c>
      <c r="L37" s="29">
        <v>14</v>
      </c>
      <c r="M37" s="29">
        <v>24</v>
      </c>
      <c r="N37" s="37">
        <f t="shared" si="0"/>
        <v>96</v>
      </c>
      <c r="O37" s="31">
        <v>795</v>
      </c>
      <c r="P37" s="31">
        <f t="shared" si="1"/>
        <v>691.304347826087</v>
      </c>
      <c r="Q37" s="31">
        <f t="shared" si="2"/>
        <v>66365.217391304352</v>
      </c>
      <c r="R37" s="31">
        <v>0</v>
      </c>
      <c r="S37" s="31">
        <f>SUM(Tabella2810[[#This Row],[Importo 48 mesi]:[Importo stimato per ricambi]])</f>
        <v>66365.217391304352</v>
      </c>
      <c r="T37" s="55"/>
    </row>
    <row r="38" spans="1:20" ht="100.8">
      <c r="A38" s="33" t="s">
        <v>49</v>
      </c>
      <c r="B38" s="54" t="s">
        <v>913</v>
      </c>
      <c r="C38" s="36"/>
      <c r="D38" s="45" t="s">
        <v>914</v>
      </c>
      <c r="E38" s="45" t="s">
        <v>915</v>
      </c>
      <c r="F38" s="107" t="s">
        <v>916</v>
      </c>
      <c r="G38" s="107"/>
      <c r="H38" s="107"/>
      <c r="I38" s="107" t="s">
        <v>455</v>
      </c>
      <c r="J38" s="37"/>
      <c r="K38" s="88" t="s">
        <v>917</v>
      </c>
      <c r="L38" s="29">
        <v>281</v>
      </c>
      <c r="M38" s="29">
        <v>109</v>
      </c>
      <c r="N38" s="37">
        <f t="shared" si="0"/>
        <v>436</v>
      </c>
      <c r="O38" s="31">
        <v>1600</v>
      </c>
      <c r="P38" s="31">
        <f t="shared" si="1"/>
        <v>1391.304347826087</v>
      </c>
      <c r="Q38" s="31">
        <f t="shared" si="2"/>
        <v>606608.69565217395</v>
      </c>
      <c r="R38" s="31">
        <v>0</v>
      </c>
      <c r="S38" s="31">
        <f>SUM(Tabella2810[[#This Row],[Importo 48 mesi]:[Importo stimato per ricambi]])</f>
        <v>606608.69565217395</v>
      </c>
      <c r="T38" s="55"/>
    </row>
    <row r="39" spans="1:20" ht="86.4">
      <c r="A39" s="33" t="s">
        <v>49</v>
      </c>
      <c r="B39" s="54" t="s">
        <v>918</v>
      </c>
      <c r="C39" s="36"/>
      <c r="D39" s="45" t="s">
        <v>475</v>
      </c>
      <c r="E39" s="45" t="s">
        <v>919</v>
      </c>
      <c r="F39" s="107" t="s">
        <v>908</v>
      </c>
      <c r="G39" s="107"/>
      <c r="H39" s="107"/>
      <c r="I39" s="107" t="s">
        <v>909</v>
      </c>
      <c r="J39" s="37"/>
      <c r="K39" s="88"/>
      <c r="L39" s="29">
        <v>1</v>
      </c>
      <c r="M39" s="29">
        <v>3</v>
      </c>
      <c r="N39" s="37">
        <f t="shared" si="0"/>
        <v>12</v>
      </c>
      <c r="O39" s="31">
        <v>14949.999999999998</v>
      </c>
      <c r="P39" s="31">
        <f t="shared" si="1"/>
        <v>13000</v>
      </c>
      <c r="Q39" s="31">
        <f t="shared" si="2"/>
        <v>156000</v>
      </c>
      <c r="R39" s="31">
        <f>Tabella2810[[#This Row],[Importo 48 mesi]]*0.01</f>
        <v>1560</v>
      </c>
      <c r="S39" s="31">
        <f>SUM(Tabella2810[[#This Row],[Importo 48 mesi]:[Importo stimato per ricambi]])</f>
        <v>157560</v>
      </c>
      <c r="T39" s="55"/>
    </row>
    <row r="40" spans="1:20" ht="43.2">
      <c r="A40" s="33" t="s">
        <v>49</v>
      </c>
      <c r="B40" s="54" t="s">
        <v>920</v>
      </c>
      <c r="C40" s="36"/>
      <c r="D40" s="45" t="s">
        <v>368</v>
      </c>
      <c r="E40" s="45" t="s">
        <v>921</v>
      </c>
      <c r="F40" s="107" t="s">
        <v>922</v>
      </c>
      <c r="G40" s="107"/>
      <c r="H40" s="107"/>
      <c r="I40" s="107" t="s">
        <v>923</v>
      </c>
      <c r="J40" s="37"/>
      <c r="K40" s="88" t="s">
        <v>781</v>
      </c>
      <c r="L40" s="29">
        <v>66</v>
      </c>
      <c r="M40" s="29">
        <v>68</v>
      </c>
      <c r="N40" s="37">
        <f t="shared" si="0"/>
        <v>272</v>
      </c>
      <c r="O40" s="31">
        <v>36.127249999999997</v>
      </c>
      <c r="P40" s="31">
        <f t="shared" si="1"/>
        <v>31.414999999999999</v>
      </c>
      <c r="Q40" s="31">
        <f t="shared" si="2"/>
        <v>8544.8799999999992</v>
      </c>
      <c r="R40" s="31">
        <v>0</v>
      </c>
      <c r="S40" s="31">
        <f>SUM(Tabella2810[[#This Row],[Importo 48 mesi]:[Importo stimato per ricambi]])</f>
        <v>8544.8799999999992</v>
      </c>
      <c r="T40" s="55"/>
    </row>
    <row r="41" spans="1:20" ht="86.4">
      <c r="A41" s="33" t="s">
        <v>49</v>
      </c>
      <c r="B41" s="54" t="s">
        <v>924</v>
      </c>
      <c r="C41" s="36"/>
      <c r="D41" s="45" t="s">
        <v>395</v>
      </c>
      <c r="E41" s="45" t="s">
        <v>925</v>
      </c>
      <c r="F41" s="107" t="s">
        <v>908</v>
      </c>
      <c r="G41" s="107"/>
      <c r="H41" s="107"/>
      <c r="I41" s="107" t="s">
        <v>909</v>
      </c>
      <c r="J41" s="37"/>
      <c r="K41" s="88"/>
      <c r="L41" s="29">
        <v>1449</v>
      </c>
      <c r="M41" s="29">
        <v>150</v>
      </c>
      <c r="N41" s="37">
        <f t="shared" si="0"/>
        <v>600</v>
      </c>
      <c r="O41" s="31">
        <v>200</v>
      </c>
      <c r="P41" s="31">
        <f t="shared" si="1"/>
        <v>173.91304347826087</v>
      </c>
      <c r="Q41" s="31">
        <f t="shared" si="2"/>
        <v>104347.82608695653</v>
      </c>
      <c r="R41" s="31">
        <v>0</v>
      </c>
      <c r="S41" s="31">
        <f>SUM(Tabella2810[[#This Row],[Importo 48 mesi]:[Importo stimato per ricambi]])</f>
        <v>104347.82608695653</v>
      </c>
      <c r="T41" s="55"/>
    </row>
    <row r="42" spans="1:20" ht="72">
      <c r="A42" s="33" t="s">
        <v>49</v>
      </c>
      <c r="B42" s="54" t="s">
        <v>926</v>
      </c>
      <c r="C42" s="36"/>
      <c r="D42" s="45" t="s">
        <v>371</v>
      </c>
      <c r="E42" s="45" t="s">
        <v>927</v>
      </c>
      <c r="F42" s="107" t="s">
        <v>928</v>
      </c>
      <c r="G42" s="107"/>
      <c r="H42" s="107"/>
      <c r="I42" s="107" t="s">
        <v>929</v>
      </c>
      <c r="J42" s="37"/>
      <c r="K42" s="88"/>
      <c r="L42" s="29">
        <v>60</v>
      </c>
      <c r="M42" s="29">
        <v>68</v>
      </c>
      <c r="N42" s="37">
        <f t="shared" si="0"/>
        <v>272</v>
      </c>
      <c r="O42" s="31">
        <v>82.322749999999999</v>
      </c>
      <c r="P42" s="31">
        <f t="shared" si="1"/>
        <v>71.585000000000008</v>
      </c>
      <c r="Q42" s="31">
        <f t="shared" si="2"/>
        <v>19471.120000000003</v>
      </c>
      <c r="R42" s="31">
        <v>0</v>
      </c>
      <c r="S42" s="31">
        <f>SUM(Tabella2810[[#This Row],[Importo 48 mesi]:[Importo stimato per ricambi]])</f>
        <v>19471.120000000003</v>
      </c>
      <c r="T42" s="55"/>
    </row>
    <row r="43" spans="1:20" ht="57.6">
      <c r="A43" s="33" t="s">
        <v>49</v>
      </c>
      <c r="B43" s="54" t="s">
        <v>930</v>
      </c>
      <c r="C43" s="36"/>
      <c r="D43" s="45" t="s">
        <v>259</v>
      </c>
      <c r="E43" s="45" t="s">
        <v>931</v>
      </c>
      <c r="F43" s="107"/>
      <c r="G43" s="107"/>
      <c r="H43" s="107"/>
      <c r="I43" s="107"/>
      <c r="J43" s="37"/>
      <c r="K43" s="88"/>
      <c r="L43" s="29">
        <v>0</v>
      </c>
      <c r="M43" s="29">
        <v>4</v>
      </c>
      <c r="N43" s="37">
        <f t="shared" si="0"/>
        <v>16</v>
      </c>
      <c r="O43" s="31">
        <v>1265</v>
      </c>
      <c r="P43" s="31">
        <f t="shared" si="1"/>
        <v>1100</v>
      </c>
      <c r="Q43" s="31">
        <f t="shared" si="2"/>
        <v>17600</v>
      </c>
      <c r="R43" s="31">
        <f>Tabella2810[[#This Row],[Importo 48 mesi]]*0.01</f>
        <v>176</v>
      </c>
      <c r="S43" s="31">
        <f>SUM(Tabella2810[[#This Row],[Importo 48 mesi]:[Importo stimato per ricambi]])</f>
        <v>17776</v>
      </c>
      <c r="T43" s="55"/>
    </row>
    <row r="44" spans="1:20" ht="72">
      <c r="A44" s="33" t="s">
        <v>49</v>
      </c>
      <c r="B44" s="54" t="s">
        <v>932</v>
      </c>
      <c r="C44" s="36"/>
      <c r="D44" s="45" t="s">
        <v>265</v>
      </c>
      <c r="E44" s="45" t="s">
        <v>933</v>
      </c>
      <c r="F44" s="107"/>
      <c r="G44" s="107"/>
      <c r="H44" s="107"/>
      <c r="I44" s="107"/>
      <c r="J44" s="37"/>
      <c r="K44" s="88"/>
      <c r="L44" s="29">
        <v>0</v>
      </c>
      <c r="M44" s="29">
        <v>4</v>
      </c>
      <c r="N44" s="37">
        <f t="shared" si="0"/>
        <v>16</v>
      </c>
      <c r="O44" s="31">
        <v>1954.9999999999998</v>
      </c>
      <c r="P44" s="31">
        <f t="shared" si="1"/>
        <v>1700</v>
      </c>
      <c r="Q44" s="31">
        <f t="shared" si="2"/>
        <v>27200</v>
      </c>
      <c r="R44" s="31">
        <f>Tabella2810[[#This Row],[Importo 48 mesi]]*0.01</f>
        <v>272</v>
      </c>
      <c r="S44" s="31">
        <f>SUM(Tabella2810[[#This Row],[Importo 48 mesi]:[Importo stimato per ricambi]])</f>
        <v>27472</v>
      </c>
      <c r="T44" s="55"/>
    </row>
    <row r="45" spans="1:20" ht="58.2" thickBot="1">
      <c r="A45" s="46" t="s">
        <v>49</v>
      </c>
      <c r="B45" s="58" t="s">
        <v>934</v>
      </c>
      <c r="C45" s="39"/>
      <c r="D45" s="157" t="s">
        <v>467</v>
      </c>
      <c r="E45" s="157" t="s">
        <v>935</v>
      </c>
      <c r="F45" s="108"/>
      <c r="G45" s="108"/>
      <c r="H45" s="108"/>
      <c r="I45" s="108"/>
      <c r="J45" s="38"/>
      <c r="K45" s="101"/>
      <c r="L45" s="150">
        <v>0</v>
      </c>
      <c r="M45" s="150">
        <v>23</v>
      </c>
      <c r="N45" s="38">
        <f t="shared" si="0"/>
        <v>92</v>
      </c>
      <c r="O45" s="32">
        <v>2300</v>
      </c>
      <c r="P45" s="32">
        <f t="shared" si="1"/>
        <v>2000.0000000000002</v>
      </c>
      <c r="Q45" s="32">
        <f t="shared" si="2"/>
        <v>184000.00000000003</v>
      </c>
      <c r="R45" s="32">
        <v>0</v>
      </c>
      <c r="S45" s="31">
        <f>SUM(Tabella2810[[#This Row],[Importo 48 mesi]:[Importo stimato per ricambi]])</f>
        <v>184000.00000000003</v>
      </c>
      <c r="T45" s="59"/>
    </row>
    <row r="46" spans="1:20" ht="15" thickBot="1">
      <c r="A46" s="71"/>
      <c r="B46" s="83"/>
      <c r="C46" s="83"/>
      <c r="D46" s="83"/>
      <c r="E46" s="83"/>
      <c r="F46" s="83"/>
      <c r="G46" s="83"/>
      <c r="H46" s="83"/>
      <c r="I46" s="83"/>
      <c r="J46" s="83"/>
      <c r="K46" s="83"/>
      <c r="L46" s="84"/>
      <c r="M46" s="84"/>
      <c r="N46" s="84"/>
      <c r="O46" s="85"/>
      <c r="P46" s="85"/>
      <c r="Q46" s="85"/>
      <c r="R46" s="85"/>
      <c r="S46" s="85"/>
      <c r="T46" s="166">
        <f>SUM(Tabella2810[Importo stimato per lotto])</f>
        <v>13674299.120130436</v>
      </c>
    </row>
  </sheetData>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EB5AF-521D-45DC-8390-CCB0DB3B1DA5}">
  <dimension ref="A1:T21"/>
  <sheetViews>
    <sheetView zoomScale="80" zoomScaleNormal="80" workbookViewId="0">
      <pane xSplit="1" topLeftCell="M1" activePane="topRight" state="frozen"/>
      <selection activeCell="U1" sqref="U1"/>
      <selection pane="topRight" activeCell="U1" sqref="U1"/>
    </sheetView>
  </sheetViews>
  <sheetFormatPr defaultColWidth="9.21875" defaultRowHeight="14.4"/>
  <cols>
    <col min="1" max="1" width="10.44140625" style="50" bestFit="1" customWidth="1"/>
    <col min="2" max="2" width="6.88671875" style="50" bestFit="1" customWidth="1"/>
    <col min="3" max="3" width="17.109375" style="50" bestFit="1" customWidth="1"/>
    <col min="4" max="4" width="23.21875" style="50" customWidth="1"/>
    <col min="5" max="5" width="69.6640625" style="50" bestFit="1" customWidth="1"/>
    <col min="6" max="6" width="52.109375" style="50" bestFit="1" customWidth="1"/>
    <col min="7" max="7" width="23.33203125" style="50" bestFit="1" customWidth="1"/>
    <col min="8" max="8" width="25.6640625" style="50" bestFit="1" customWidth="1"/>
    <col min="9" max="9" width="30.44140625" style="50" bestFit="1" customWidth="1"/>
    <col min="10" max="10" width="27.6640625" style="50" bestFit="1" customWidth="1"/>
    <col min="11" max="11" width="28.21875" style="50" bestFit="1" customWidth="1"/>
    <col min="12" max="12" width="28.21875" bestFit="1" customWidth="1"/>
    <col min="13" max="13" width="21.88671875" bestFit="1" customWidth="1"/>
    <col min="14" max="14" width="31.21875" bestFit="1" customWidth="1"/>
    <col min="15" max="15" width="23.77734375" bestFit="1" customWidth="1"/>
    <col min="16" max="16" width="28" style="44" bestFit="1" customWidth="1"/>
    <col min="17" max="17" width="27.21875" style="44" bestFit="1" customWidth="1"/>
    <col min="18" max="18" width="26.88671875" bestFit="1" customWidth="1"/>
    <col min="19" max="19" width="23.44140625" style="51" bestFit="1" customWidth="1"/>
    <col min="20" max="20" width="20.77734375" bestFit="1" customWidth="1"/>
    <col min="21" max="21" width="14.21875" bestFit="1" customWidth="1"/>
  </cols>
  <sheetData>
    <row r="1" spans="1:20" ht="65.400000000000006" thickBot="1">
      <c r="A1" s="131" t="s">
        <v>626</v>
      </c>
      <c r="B1" s="131" t="s">
        <v>776</v>
      </c>
      <c r="C1" s="131" t="s">
        <v>628</v>
      </c>
      <c r="D1" s="132" t="s">
        <v>777</v>
      </c>
      <c r="E1" s="132" t="s">
        <v>630</v>
      </c>
      <c r="F1" s="133" t="s">
        <v>778</v>
      </c>
      <c r="G1" s="133" t="s">
        <v>632</v>
      </c>
      <c r="H1" s="133" t="s">
        <v>633</v>
      </c>
      <c r="I1" s="133" t="s">
        <v>634</v>
      </c>
      <c r="J1" s="132" t="s">
        <v>635</v>
      </c>
      <c r="K1" s="134" t="s">
        <v>636</v>
      </c>
      <c r="L1" s="135" t="s">
        <v>637</v>
      </c>
      <c r="M1" s="132" t="s">
        <v>638</v>
      </c>
      <c r="N1" s="135" t="s">
        <v>639</v>
      </c>
      <c r="O1" s="136" t="s">
        <v>640</v>
      </c>
      <c r="P1" s="137" t="s">
        <v>641</v>
      </c>
      <c r="Q1" s="137" t="s">
        <v>642</v>
      </c>
      <c r="R1" s="138" t="s">
        <v>643</v>
      </c>
      <c r="S1" s="138" t="s">
        <v>644</v>
      </c>
      <c r="T1" s="138" t="s">
        <v>645</v>
      </c>
    </row>
    <row r="2" spans="1:20" ht="144.6" thickBot="1">
      <c r="A2" s="159" t="s">
        <v>12</v>
      </c>
      <c r="B2" s="52" t="s">
        <v>936</v>
      </c>
      <c r="C2" s="34"/>
      <c r="D2" s="167" t="s">
        <v>88</v>
      </c>
      <c r="E2" s="155" t="s">
        <v>937</v>
      </c>
      <c r="F2" s="105" t="s">
        <v>1354</v>
      </c>
      <c r="G2" s="106"/>
      <c r="H2" s="106"/>
      <c r="I2" s="106" t="s">
        <v>938</v>
      </c>
      <c r="J2" s="30"/>
      <c r="K2" s="86" t="s">
        <v>788</v>
      </c>
      <c r="L2" s="30">
        <v>20</v>
      </c>
      <c r="M2" s="30">
        <v>20</v>
      </c>
      <c r="N2" s="30">
        <f t="shared" ref="N2:N20" si="0">M2*4</f>
        <v>80</v>
      </c>
      <c r="O2" s="35">
        <v>1374.6122499999999</v>
      </c>
      <c r="P2" s="35">
        <f t="shared" ref="P2:P20" si="1">O2/1.15</f>
        <v>1195.3150000000001</v>
      </c>
      <c r="Q2" s="35">
        <f t="shared" ref="Q2:Q20" si="2">N2*P2</f>
        <v>95625.200000000012</v>
      </c>
      <c r="R2" s="35">
        <f>Tabella2811[[#This Row],[Importo 48 mesi]]*0.01</f>
        <v>956.25200000000018</v>
      </c>
      <c r="S2" s="35">
        <f>SUM(Tabella2811[[#This Row],[Importo 48 mesi]:[Importo stimato per ricambi]])</f>
        <v>96581.452000000005</v>
      </c>
      <c r="T2" s="53">
        <f>SUM(S2:S20)</f>
        <v>15044316.848156521</v>
      </c>
    </row>
    <row r="3" spans="1:20" ht="87" thickBot="1">
      <c r="A3" s="160" t="s">
        <v>12</v>
      </c>
      <c r="B3" s="54" t="s">
        <v>939</v>
      </c>
      <c r="C3" s="36"/>
      <c r="D3" s="45" t="s">
        <v>91</v>
      </c>
      <c r="E3" s="45" t="s">
        <v>940</v>
      </c>
      <c r="F3" s="105" t="s">
        <v>1355</v>
      </c>
      <c r="G3" s="106"/>
      <c r="H3" s="106"/>
      <c r="I3" s="106" t="s">
        <v>941</v>
      </c>
      <c r="J3" s="37"/>
      <c r="K3" s="88" t="s">
        <v>942</v>
      </c>
      <c r="L3" s="37">
        <v>0</v>
      </c>
      <c r="M3" s="37">
        <v>5</v>
      </c>
      <c r="N3" s="37">
        <f t="shared" si="0"/>
        <v>20</v>
      </c>
      <c r="O3" s="31">
        <v>3011.85</v>
      </c>
      <c r="P3" s="31">
        <f t="shared" si="1"/>
        <v>2619</v>
      </c>
      <c r="Q3" s="31">
        <f t="shared" si="2"/>
        <v>52380</v>
      </c>
      <c r="R3" s="31">
        <f>Tabella2811[[#This Row],[Importo 48 mesi]]*0.01</f>
        <v>523.79999999999995</v>
      </c>
      <c r="S3" s="31">
        <f>SUM(Tabella2811[[#This Row],[Importo 48 mesi]:[Importo stimato per ricambi]])</f>
        <v>52903.8</v>
      </c>
      <c r="T3" s="55" t="str">
        <f>IF(COUNTIF($A$2:A3,A3)=1,SUMIF(A:A,A3,Q:Q),"")</f>
        <v/>
      </c>
    </row>
    <row r="4" spans="1:20" ht="72.599999999999994" thickBot="1">
      <c r="A4" s="33" t="s">
        <v>12</v>
      </c>
      <c r="B4" s="54" t="s">
        <v>943</v>
      </c>
      <c r="C4" s="36"/>
      <c r="D4" s="45" t="s">
        <v>94</v>
      </c>
      <c r="E4" s="45" t="s">
        <v>944</v>
      </c>
      <c r="F4" s="105" t="s">
        <v>945</v>
      </c>
      <c r="G4" s="112"/>
      <c r="H4" s="161"/>
      <c r="I4" s="106" t="s">
        <v>946</v>
      </c>
      <c r="J4" s="47"/>
      <c r="K4" s="88" t="s">
        <v>947</v>
      </c>
      <c r="L4" s="37">
        <v>0</v>
      </c>
      <c r="M4" s="37">
        <v>5</v>
      </c>
      <c r="N4" s="37">
        <f t="shared" si="0"/>
        <v>20</v>
      </c>
      <c r="O4" s="31">
        <v>829.15</v>
      </c>
      <c r="P4" s="31">
        <f t="shared" si="1"/>
        <v>721</v>
      </c>
      <c r="Q4" s="31">
        <f t="shared" si="2"/>
        <v>14420</v>
      </c>
      <c r="R4" s="31">
        <f>Tabella2811[[#This Row],[Importo 48 mesi]]*0.01</f>
        <v>144.20000000000002</v>
      </c>
      <c r="S4" s="31">
        <f>SUM(Tabella2811[[#This Row],[Importo 48 mesi]:[Importo stimato per ricambi]])</f>
        <v>14564.2</v>
      </c>
      <c r="T4" s="99"/>
    </row>
    <row r="5" spans="1:20" ht="72.599999999999994" thickBot="1">
      <c r="A5" s="33" t="s">
        <v>12</v>
      </c>
      <c r="B5" s="54" t="s">
        <v>948</v>
      </c>
      <c r="C5" s="36"/>
      <c r="D5" s="45" t="s">
        <v>96</v>
      </c>
      <c r="E5" s="45" t="s">
        <v>949</v>
      </c>
      <c r="F5" s="105" t="s">
        <v>1356</v>
      </c>
      <c r="G5" s="106"/>
      <c r="H5" s="106"/>
      <c r="I5" s="106" t="s">
        <v>946</v>
      </c>
      <c r="J5" s="37"/>
      <c r="K5" s="88" t="s">
        <v>950</v>
      </c>
      <c r="L5" s="37">
        <v>99</v>
      </c>
      <c r="M5" s="37">
        <v>80</v>
      </c>
      <c r="N5" s="37">
        <f t="shared" si="0"/>
        <v>320</v>
      </c>
      <c r="O5" s="31">
        <v>1079.8499999999999</v>
      </c>
      <c r="P5" s="31">
        <f t="shared" si="1"/>
        <v>939</v>
      </c>
      <c r="Q5" s="31">
        <f t="shared" si="2"/>
        <v>300480</v>
      </c>
      <c r="R5" s="31">
        <f>Tabella2811[[#This Row],[Importo 48 mesi]]*0.01</f>
        <v>3004.8</v>
      </c>
      <c r="S5" s="31">
        <f>SUM(Tabella2811[[#This Row],[Importo 48 mesi]:[Importo stimato per ricambi]])</f>
        <v>303484.79999999999</v>
      </c>
      <c r="T5" s="55" t="str">
        <f>IF(COUNTIF($A$2:A5,A5)=1,SUMIF(A:A,A5,Q:Q),"")</f>
        <v/>
      </c>
    </row>
    <row r="6" spans="1:20" ht="72.599999999999994" thickBot="1">
      <c r="A6" s="33" t="s">
        <v>12</v>
      </c>
      <c r="B6" s="54" t="s">
        <v>951</v>
      </c>
      <c r="C6" s="36"/>
      <c r="D6" s="45" t="s">
        <v>98</v>
      </c>
      <c r="E6" s="45" t="s">
        <v>952</v>
      </c>
      <c r="F6" s="105" t="s">
        <v>953</v>
      </c>
      <c r="G6" s="106"/>
      <c r="H6" s="106"/>
      <c r="I6" s="106" t="s">
        <v>946</v>
      </c>
      <c r="J6" s="37"/>
      <c r="K6" s="88" t="s">
        <v>788</v>
      </c>
      <c r="L6" s="37">
        <v>0</v>
      </c>
      <c r="M6" s="37">
        <v>5</v>
      </c>
      <c r="N6" s="37">
        <f t="shared" si="0"/>
        <v>20</v>
      </c>
      <c r="O6" s="31">
        <v>388.51599999999996</v>
      </c>
      <c r="P6" s="31">
        <f t="shared" si="1"/>
        <v>337.84</v>
      </c>
      <c r="Q6" s="31">
        <f t="shared" si="2"/>
        <v>6756.7999999999993</v>
      </c>
      <c r="R6" s="31">
        <f>Tabella2811[[#This Row],[Importo 48 mesi]]*0.01</f>
        <v>67.567999999999998</v>
      </c>
      <c r="S6" s="31">
        <f>SUM(Tabella2811[[#This Row],[Importo 48 mesi]:[Importo stimato per ricambi]])</f>
        <v>6824.3679999999995</v>
      </c>
      <c r="T6" s="55" t="str">
        <f>IF(COUNTIF($A$2:A6,A6)=1,SUMIF(A:A,A6,Q:Q),"")</f>
        <v/>
      </c>
    </row>
    <row r="7" spans="1:20" ht="72.599999999999994" thickBot="1">
      <c r="A7" s="33" t="s">
        <v>12</v>
      </c>
      <c r="B7" s="54" t="s">
        <v>954</v>
      </c>
      <c r="C7" s="36"/>
      <c r="D7" s="45" t="s">
        <v>100</v>
      </c>
      <c r="E7" s="45" t="s">
        <v>955</v>
      </c>
      <c r="F7" s="105" t="s">
        <v>956</v>
      </c>
      <c r="G7" s="106"/>
      <c r="H7" s="106"/>
      <c r="I7" s="106" t="s">
        <v>946</v>
      </c>
      <c r="J7" s="37"/>
      <c r="K7" s="88" t="s">
        <v>788</v>
      </c>
      <c r="L7" s="37">
        <v>46</v>
      </c>
      <c r="M7" s="37">
        <v>30</v>
      </c>
      <c r="N7" s="37">
        <f t="shared" si="0"/>
        <v>120</v>
      </c>
      <c r="O7" s="31">
        <v>2851.0915</v>
      </c>
      <c r="P7" s="31">
        <f t="shared" si="1"/>
        <v>2479.21</v>
      </c>
      <c r="Q7" s="31">
        <f t="shared" si="2"/>
        <v>297505.2</v>
      </c>
      <c r="R7" s="31">
        <f>Tabella2811[[#This Row],[Importo 48 mesi]]*0.01</f>
        <v>2975.0520000000001</v>
      </c>
      <c r="S7" s="31">
        <f>SUM(Tabella2811[[#This Row],[Importo 48 mesi]:[Importo stimato per ricambi]])</f>
        <v>300480.25200000004</v>
      </c>
      <c r="T7" s="55" t="str">
        <f>IF(COUNTIF($A$2:A7,A7)=1,SUMIF(A:A,A7,Q:Q),"")</f>
        <v/>
      </c>
    </row>
    <row r="8" spans="1:20" ht="72.599999999999994" thickBot="1">
      <c r="A8" s="33" t="s">
        <v>12</v>
      </c>
      <c r="B8" s="54" t="s">
        <v>957</v>
      </c>
      <c r="C8" s="36"/>
      <c r="D8" s="45" t="s">
        <v>102</v>
      </c>
      <c r="E8" s="45" t="s">
        <v>958</v>
      </c>
      <c r="F8" s="105" t="s">
        <v>959</v>
      </c>
      <c r="G8" s="106"/>
      <c r="H8" s="106"/>
      <c r="I8" s="106" t="s">
        <v>946</v>
      </c>
      <c r="J8" s="37"/>
      <c r="K8" s="88" t="s">
        <v>960</v>
      </c>
      <c r="L8" s="37">
        <v>5</v>
      </c>
      <c r="M8" s="37">
        <v>5</v>
      </c>
      <c r="N8" s="37">
        <f t="shared" si="0"/>
        <v>20</v>
      </c>
      <c r="O8" s="31">
        <v>1058</v>
      </c>
      <c r="P8" s="31">
        <f t="shared" si="1"/>
        <v>920.00000000000011</v>
      </c>
      <c r="Q8" s="31">
        <f t="shared" si="2"/>
        <v>18400.000000000004</v>
      </c>
      <c r="R8" s="31">
        <f>Tabella2811[[#This Row],[Importo 48 mesi]]*0.01</f>
        <v>184.00000000000003</v>
      </c>
      <c r="S8" s="31">
        <f>SUM(Tabella2811[[#This Row],[Importo 48 mesi]:[Importo stimato per ricambi]])</f>
        <v>18584.000000000004</v>
      </c>
      <c r="T8" s="55" t="str">
        <f>IF(COUNTIF($A$2:A8,A8)=1,SUMIF(A:A,A8,Q:Q),"")</f>
        <v/>
      </c>
    </row>
    <row r="9" spans="1:20" ht="58.2" thickBot="1">
      <c r="A9" s="33" t="s">
        <v>12</v>
      </c>
      <c r="B9" s="54" t="s">
        <v>961</v>
      </c>
      <c r="C9" s="36"/>
      <c r="D9" s="45" t="s">
        <v>104</v>
      </c>
      <c r="E9" s="45" t="s">
        <v>962</v>
      </c>
      <c r="F9" s="105" t="s">
        <v>963</v>
      </c>
      <c r="G9" s="106"/>
      <c r="H9" s="106"/>
      <c r="I9" s="106" t="s">
        <v>946</v>
      </c>
      <c r="J9" s="37"/>
      <c r="K9" s="88" t="s">
        <v>964</v>
      </c>
      <c r="L9" s="37">
        <v>43</v>
      </c>
      <c r="M9" s="37">
        <v>35</v>
      </c>
      <c r="N9" s="37">
        <f t="shared" si="0"/>
        <v>140</v>
      </c>
      <c r="O9" s="31">
        <v>3001.4999999999995</v>
      </c>
      <c r="P9" s="31">
        <f t="shared" si="1"/>
        <v>2610</v>
      </c>
      <c r="Q9" s="31">
        <f t="shared" si="2"/>
        <v>365400</v>
      </c>
      <c r="R9" s="31">
        <f>Tabella2811[[#This Row],[Importo 48 mesi]]*0.01</f>
        <v>3654</v>
      </c>
      <c r="S9" s="31">
        <f>SUM(Tabella2811[[#This Row],[Importo 48 mesi]:[Importo stimato per ricambi]])</f>
        <v>369054</v>
      </c>
      <c r="T9" s="55" t="str">
        <f>IF(COUNTIF($A$2:A9,A9)=1,SUMIF(A:A,A9,Q:Q),"")</f>
        <v/>
      </c>
    </row>
    <row r="10" spans="1:20" ht="101.4" thickBot="1">
      <c r="A10" s="33" t="s">
        <v>12</v>
      </c>
      <c r="B10" s="54" t="s">
        <v>965</v>
      </c>
      <c r="C10" s="36"/>
      <c r="D10" s="45" t="s">
        <v>106</v>
      </c>
      <c r="E10" s="45" t="s">
        <v>966</v>
      </c>
      <c r="F10" s="105" t="s">
        <v>1357</v>
      </c>
      <c r="G10" s="106"/>
      <c r="H10" s="106"/>
      <c r="I10" s="106" t="s">
        <v>946</v>
      </c>
      <c r="J10" s="37"/>
      <c r="K10" s="88" t="s">
        <v>788</v>
      </c>
      <c r="L10" s="37">
        <v>95</v>
      </c>
      <c r="M10" s="37">
        <v>73</v>
      </c>
      <c r="N10" s="37">
        <f t="shared" si="0"/>
        <v>292</v>
      </c>
      <c r="O10" s="31">
        <v>5738.9025000000001</v>
      </c>
      <c r="P10" s="31">
        <f t="shared" si="1"/>
        <v>4990.3500000000004</v>
      </c>
      <c r="Q10" s="31">
        <f t="shared" si="2"/>
        <v>1457182.2000000002</v>
      </c>
      <c r="R10" s="31">
        <f>Tabella2811[[#This Row],[Importo 48 mesi]]*0.01</f>
        <v>14571.822000000002</v>
      </c>
      <c r="S10" s="31">
        <f>SUM(Tabella2811[[#This Row],[Importo 48 mesi]:[Importo stimato per ricambi]])</f>
        <v>1471754.0220000001</v>
      </c>
      <c r="T10" s="55" t="str">
        <f>IF(COUNTIF($A$2:A10,A10)=1,SUMIF(A:A,A10,Q:Q),"")</f>
        <v/>
      </c>
    </row>
    <row r="11" spans="1:20" ht="115.8" thickBot="1">
      <c r="A11" s="33" t="s">
        <v>12</v>
      </c>
      <c r="B11" s="54" t="s">
        <v>967</v>
      </c>
      <c r="C11" s="36"/>
      <c r="D11" s="45" t="s">
        <v>108</v>
      </c>
      <c r="E11" s="45" t="s">
        <v>968</v>
      </c>
      <c r="F11" s="105" t="s">
        <v>1358</v>
      </c>
      <c r="G11" s="106"/>
      <c r="H11" s="106"/>
      <c r="I11" s="106" t="s">
        <v>941</v>
      </c>
      <c r="J11" s="37"/>
      <c r="K11" s="88" t="s">
        <v>969</v>
      </c>
      <c r="L11" s="37">
        <v>103</v>
      </c>
      <c r="M11" s="37">
        <v>80</v>
      </c>
      <c r="N11" s="37">
        <f t="shared" si="0"/>
        <v>320</v>
      </c>
      <c r="O11" s="31">
        <v>6544.65</v>
      </c>
      <c r="P11" s="31">
        <f t="shared" si="1"/>
        <v>5691</v>
      </c>
      <c r="Q11" s="31">
        <f t="shared" si="2"/>
        <v>1821120</v>
      </c>
      <c r="R11" s="31">
        <f>Tabella2811[[#This Row],[Importo 48 mesi]]*0.01</f>
        <v>18211.2</v>
      </c>
      <c r="S11" s="31">
        <f>SUM(Tabella2811[[#This Row],[Importo 48 mesi]:[Importo stimato per ricambi]])</f>
        <v>1839331.2</v>
      </c>
      <c r="T11" s="55" t="str">
        <f>IF(COUNTIF($A$2:A11,A11)=1,SUMIF(A:A,A11,Q:Q),"")</f>
        <v/>
      </c>
    </row>
    <row r="12" spans="1:20" ht="144.6" thickBot="1">
      <c r="A12" s="33" t="s">
        <v>12</v>
      </c>
      <c r="B12" s="54" t="s">
        <v>970</v>
      </c>
      <c r="C12" s="36"/>
      <c r="D12" s="45" t="s">
        <v>1200</v>
      </c>
      <c r="E12" s="45" t="s">
        <v>971</v>
      </c>
      <c r="F12" s="105" t="s">
        <v>1359</v>
      </c>
      <c r="G12" s="106"/>
      <c r="H12" s="156"/>
      <c r="I12" s="107" t="s">
        <v>972</v>
      </c>
      <c r="J12" s="37"/>
      <c r="K12" s="88" t="s">
        <v>781</v>
      </c>
      <c r="L12" s="37">
        <v>1</v>
      </c>
      <c r="M12" s="37">
        <v>17</v>
      </c>
      <c r="N12" s="37">
        <f t="shared" si="0"/>
        <v>68</v>
      </c>
      <c r="O12" s="31">
        <v>27105.672500000001</v>
      </c>
      <c r="P12" s="31">
        <f t="shared" si="1"/>
        <v>23570.15</v>
      </c>
      <c r="Q12" s="31">
        <f t="shared" si="2"/>
        <v>1602770.2000000002</v>
      </c>
      <c r="R12" s="31">
        <f>Tabella2811[[#This Row],[Importo 48 mesi]]*0.03</f>
        <v>48083.106000000007</v>
      </c>
      <c r="S12" s="31">
        <f>SUM(Tabella2811[[#This Row],[Importo 48 mesi]:[Importo stimato per ricambi]])</f>
        <v>1650853.3060000001</v>
      </c>
      <c r="T12" s="55" t="str">
        <f>IF(COUNTIF($A$2:A12,A12)=1,SUMIF(A:A,A12,Q:Q),"")</f>
        <v/>
      </c>
    </row>
    <row r="13" spans="1:20" ht="144.6" thickBot="1">
      <c r="A13" s="33" t="s">
        <v>12</v>
      </c>
      <c r="B13" s="54" t="s">
        <v>973</v>
      </c>
      <c r="C13" s="36"/>
      <c r="D13" s="45" t="s">
        <v>1360</v>
      </c>
      <c r="E13" s="45" t="s">
        <v>1361</v>
      </c>
      <c r="F13" s="105" t="s">
        <v>974</v>
      </c>
      <c r="G13" s="106"/>
      <c r="H13" s="156"/>
      <c r="I13" s="107" t="s">
        <v>972</v>
      </c>
      <c r="J13" s="37"/>
      <c r="K13" s="88" t="s">
        <v>960</v>
      </c>
      <c r="L13" s="37">
        <v>13</v>
      </c>
      <c r="M13" s="37">
        <v>8</v>
      </c>
      <c r="N13" s="37">
        <f t="shared" si="0"/>
        <v>32</v>
      </c>
      <c r="O13" s="31">
        <v>30875.199999999997</v>
      </c>
      <c r="P13" s="31">
        <f t="shared" si="1"/>
        <v>26848</v>
      </c>
      <c r="Q13" s="31">
        <f t="shared" si="2"/>
        <v>859136</v>
      </c>
      <c r="R13" s="31">
        <f>Tabella2811[[#This Row],[Importo 48 mesi]]*0.03</f>
        <v>25774.079999999998</v>
      </c>
      <c r="S13" s="31">
        <f>SUM(Tabella2811[[#This Row],[Importo 48 mesi]:[Importo stimato per ricambi]])</f>
        <v>884910.07999999996</v>
      </c>
      <c r="T13" s="55" t="str">
        <f>IF(COUNTIF($A$2:A13,A13)=1,SUMIF(A:A,A13,Q:Q),"")</f>
        <v/>
      </c>
    </row>
    <row r="14" spans="1:20" ht="159" thickBot="1">
      <c r="A14" s="33" t="s">
        <v>12</v>
      </c>
      <c r="B14" s="54" t="s">
        <v>975</v>
      </c>
      <c r="C14" s="36"/>
      <c r="D14" s="45" t="s">
        <v>1203</v>
      </c>
      <c r="E14" s="45" t="s">
        <v>1362</v>
      </c>
      <c r="F14" s="105" t="s">
        <v>976</v>
      </c>
      <c r="G14" s="106"/>
      <c r="H14" s="156"/>
      <c r="I14" s="107" t="s">
        <v>977</v>
      </c>
      <c r="J14" s="37"/>
      <c r="K14" s="88" t="s">
        <v>960</v>
      </c>
      <c r="L14" s="37">
        <v>10</v>
      </c>
      <c r="M14" s="37">
        <v>7</v>
      </c>
      <c r="N14" s="37">
        <f t="shared" si="0"/>
        <v>28</v>
      </c>
      <c r="O14" s="31">
        <v>33024.549999999996</v>
      </c>
      <c r="P14" s="31">
        <f t="shared" si="1"/>
        <v>28717</v>
      </c>
      <c r="Q14" s="31">
        <f t="shared" si="2"/>
        <v>804076</v>
      </c>
      <c r="R14" s="31">
        <f>Tabella2811[[#This Row],[Importo 48 mesi]]*0.03</f>
        <v>24122.28</v>
      </c>
      <c r="S14" s="31">
        <f>SUM(Tabella2811[[#This Row],[Importo 48 mesi]:[Importo stimato per ricambi]])</f>
        <v>828198.28</v>
      </c>
      <c r="T14" s="55" t="str">
        <f>IF(COUNTIF($A$2:A14,A14)=1,SUMIF(A:A,A14,Q:Q),"")</f>
        <v/>
      </c>
    </row>
    <row r="15" spans="1:20" ht="187.8" thickBot="1">
      <c r="A15" s="33" t="s">
        <v>12</v>
      </c>
      <c r="B15" s="54" t="s">
        <v>978</v>
      </c>
      <c r="C15" s="36"/>
      <c r="D15" s="45" t="s">
        <v>1204</v>
      </c>
      <c r="E15" s="45" t="s">
        <v>1363</v>
      </c>
      <c r="F15" s="105" t="s">
        <v>1364</v>
      </c>
      <c r="G15" s="106"/>
      <c r="H15" s="156"/>
      <c r="I15" s="107" t="s">
        <v>972</v>
      </c>
      <c r="J15" s="37"/>
      <c r="K15" s="88" t="s">
        <v>781</v>
      </c>
      <c r="L15" s="37">
        <v>58</v>
      </c>
      <c r="M15" s="37">
        <v>39</v>
      </c>
      <c r="N15" s="37">
        <f t="shared" si="0"/>
        <v>156</v>
      </c>
      <c r="O15" s="31">
        <v>30875.199999999997</v>
      </c>
      <c r="P15" s="31">
        <f t="shared" si="1"/>
        <v>26848</v>
      </c>
      <c r="Q15" s="31">
        <f t="shared" si="2"/>
        <v>4188288</v>
      </c>
      <c r="R15" s="31">
        <f>Tabella2811[[#This Row],[Importo 48 mesi]]*0.03</f>
        <v>125648.64</v>
      </c>
      <c r="S15" s="31">
        <f>SUM(Tabella2811[[#This Row],[Importo 48 mesi]:[Importo stimato per ricambi]])</f>
        <v>4313936.6399999997</v>
      </c>
      <c r="T15" s="55" t="str">
        <f>IF(COUNTIF($A$2:A15,A15)=1,SUMIF(A:A,A15,Q:Q),"")</f>
        <v/>
      </c>
    </row>
    <row r="16" spans="1:20" ht="216.6" thickBot="1">
      <c r="A16" s="33" t="s">
        <v>12</v>
      </c>
      <c r="B16" s="54" t="s">
        <v>979</v>
      </c>
      <c r="C16" s="36"/>
      <c r="D16" s="45" t="s">
        <v>1205</v>
      </c>
      <c r="E16" s="45" t="s">
        <v>1365</v>
      </c>
      <c r="F16" s="105" t="s">
        <v>1366</v>
      </c>
      <c r="G16" s="106"/>
      <c r="H16" s="156"/>
      <c r="I16" s="107" t="s">
        <v>972</v>
      </c>
      <c r="J16" s="37"/>
      <c r="K16" s="88" t="s">
        <v>781</v>
      </c>
      <c r="L16" s="37">
        <v>11</v>
      </c>
      <c r="M16" s="37">
        <v>8</v>
      </c>
      <c r="N16" s="37">
        <f t="shared" si="0"/>
        <v>32</v>
      </c>
      <c r="O16" s="31">
        <v>79084.32699999999</v>
      </c>
      <c r="P16" s="31">
        <f t="shared" si="1"/>
        <v>68768.98</v>
      </c>
      <c r="Q16" s="31">
        <f t="shared" si="2"/>
        <v>2200607.36</v>
      </c>
      <c r="R16" s="31">
        <f>Tabella2811[[#This Row],[Importo 48 mesi]]*0.03</f>
        <v>66018.220799999996</v>
      </c>
      <c r="S16" s="31">
        <f>SUM(Tabella2811[[#This Row],[Importo 48 mesi]:[Importo stimato per ricambi]])</f>
        <v>2266625.5807999996</v>
      </c>
      <c r="T16" s="55" t="str">
        <f>IF(COUNTIF($A$2:A16,A16)=1,SUMIF(A:A,A16,Q:Q),"")</f>
        <v/>
      </c>
    </row>
    <row r="17" spans="1:20" ht="173.4" thickBot="1">
      <c r="A17" s="33" t="s">
        <v>12</v>
      </c>
      <c r="B17" s="54" t="s">
        <v>980</v>
      </c>
      <c r="C17" s="36"/>
      <c r="D17" s="45" t="s">
        <v>119</v>
      </c>
      <c r="E17" s="45" t="s">
        <v>981</v>
      </c>
      <c r="F17" s="105" t="s">
        <v>1367</v>
      </c>
      <c r="G17" s="106"/>
      <c r="H17" s="156"/>
      <c r="I17" s="107" t="s">
        <v>972</v>
      </c>
      <c r="J17" s="37"/>
      <c r="K17" s="88" t="s">
        <v>846</v>
      </c>
      <c r="L17" s="37">
        <v>0</v>
      </c>
      <c r="M17" s="37">
        <v>3</v>
      </c>
      <c r="N17" s="37">
        <f t="shared" si="0"/>
        <v>12</v>
      </c>
      <c r="O17" s="31">
        <v>16276.214499999998</v>
      </c>
      <c r="P17" s="31">
        <f t="shared" si="1"/>
        <v>14153.23</v>
      </c>
      <c r="Q17" s="31">
        <f t="shared" si="2"/>
        <v>169838.76</v>
      </c>
      <c r="R17" s="31">
        <f>Tabella2811[[#This Row],[Importo 48 mesi]]*0.01</f>
        <v>1698.3876</v>
      </c>
      <c r="S17" s="31">
        <f>SUM(Tabella2811[[#This Row],[Importo 48 mesi]:[Importo stimato per ricambi]])</f>
        <v>171537.1476</v>
      </c>
      <c r="T17" s="55" t="str">
        <f>IF(COUNTIF($A$2:A17,A17)=1,SUMIF(A:A,A17,Q:Q),"")</f>
        <v/>
      </c>
    </row>
    <row r="18" spans="1:20" ht="187.8" thickBot="1">
      <c r="A18" s="33" t="s">
        <v>12</v>
      </c>
      <c r="B18" s="54" t="s">
        <v>982</v>
      </c>
      <c r="C18" s="36"/>
      <c r="D18" s="45" t="s">
        <v>121</v>
      </c>
      <c r="E18" s="45" t="s">
        <v>983</v>
      </c>
      <c r="F18" s="105" t="s">
        <v>1368</v>
      </c>
      <c r="G18" s="106"/>
      <c r="H18" s="156"/>
      <c r="I18" s="107" t="s">
        <v>972</v>
      </c>
      <c r="J18" s="37"/>
      <c r="K18" s="88" t="s">
        <v>960</v>
      </c>
      <c r="L18" s="37">
        <v>0</v>
      </c>
      <c r="M18" s="37">
        <v>2</v>
      </c>
      <c r="N18" s="37">
        <f t="shared" si="0"/>
        <v>8</v>
      </c>
      <c r="O18" s="31">
        <v>51000</v>
      </c>
      <c r="P18" s="31">
        <f t="shared" si="1"/>
        <v>44347.826086956527</v>
      </c>
      <c r="Q18" s="31">
        <f t="shared" si="2"/>
        <v>354782.60869565222</v>
      </c>
      <c r="R18" s="31">
        <f>Tabella2811[[#This Row],[Importo 48 mesi]]*0.01</f>
        <v>3547.8260869565224</v>
      </c>
      <c r="S18" s="31">
        <f>SUM(Tabella2811[[#This Row],[Importo 48 mesi]:[Importo stimato per ricambi]])</f>
        <v>358330.43478260876</v>
      </c>
      <c r="T18" s="55" t="str">
        <f>IF(COUNTIF($A$2:A18,A18)=1,SUMIF(A:A,A18,Q:Q),"")</f>
        <v/>
      </c>
    </row>
    <row r="19" spans="1:20" ht="101.4" thickBot="1">
      <c r="A19" s="33" t="s">
        <v>12</v>
      </c>
      <c r="B19" s="54" t="s">
        <v>984</v>
      </c>
      <c r="C19" s="36"/>
      <c r="D19" s="45" t="s">
        <v>123</v>
      </c>
      <c r="E19" s="45" t="s">
        <v>985</v>
      </c>
      <c r="F19" s="105" t="s">
        <v>986</v>
      </c>
      <c r="G19" s="106"/>
      <c r="H19" s="156"/>
      <c r="I19" s="107" t="s">
        <v>987</v>
      </c>
      <c r="J19" s="37"/>
      <c r="K19" s="88" t="s">
        <v>781</v>
      </c>
      <c r="L19" s="37">
        <v>3</v>
      </c>
      <c r="M19" s="37">
        <v>3</v>
      </c>
      <c r="N19" s="37">
        <f t="shared" si="0"/>
        <v>12</v>
      </c>
      <c r="O19" s="31">
        <v>4143.3809999999994</v>
      </c>
      <c r="P19" s="31">
        <f t="shared" si="1"/>
        <v>3602.9399999999996</v>
      </c>
      <c r="Q19" s="31">
        <f t="shared" si="2"/>
        <v>43235.28</v>
      </c>
      <c r="R19" s="31">
        <f>Tabella2811[[#This Row],[Importo 48 mesi]]*0.01</f>
        <v>432.3528</v>
      </c>
      <c r="S19" s="31">
        <f>SUM(Tabella2811[[#This Row],[Importo 48 mesi]:[Importo stimato per ricambi]])</f>
        <v>43667.632799999999</v>
      </c>
      <c r="T19" s="55" t="str">
        <f>IF(COUNTIF($A$2:A19,A19)=1,SUMIF(A:A,A19,Q:Q),"")</f>
        <v/>
      </c>
    </row>
    <row r="20" spans="1:20" ht="144.6" thickBot="1">
      <c r="A20" s="46" t="s">
        <v>12</v>
      </c>
      <c r="B20" s="58" t="s">
        <v>988</v>
      </c>
      <c r="C20" s="39"/>
      <c r="D20" s="157" t="s">
        <v>126</v>
      </c>
      <c r="E20" s="157" t="s">
        <v>989</v>
      </c>
      <c r="F20" s="105" t="s">
        <v>990</v>
      </c>
      <c r="G20" s="106"/>
      <c r="H20" s="156"/>
      <c r="I20" s="107" t="s">
        <v>987</v>
      </c>
      <c r="J20" s="38"/>
      <c r="K20" s="101" t="s">
        <v>781</v>
      </c>
      <c r="L20" s="38">
        <v>1</v>
      </c>
      <c r="M20" s="38">
        <v>1</v>
      </c>
      <c r="N20" s="38">
        <f t="shared" si="0"/>
        <v>4</v>
      </c>
      <c r="O20" s="32">
        <v>15000</v>
      </c>
      <c r="P20" s="32">
        <f t="shared" si="1"/>
        <v>13043.478260869566</v>
      </c>
      <c r="Q20" s="32">
        <f t="shared" si="2"/>
        <v>52173.913043478264</v>
      </c>
      <c r="R20" s="32">
        <f>Tabella2811[[#This Row],[Importo 48 mesi]]*0.01</f>
        <v>521.73913043478262</v>
      </c>
      <c r="S20" s="31">
        <f>SUM(Tabella2811[[#This Row],[Importo 48 mesi]:[Importo stimato per ricambi]])</f>
        <v>52695.652173913048</v>
      </c>
      <c r="T20" s="59" t="str">
        <f>IF(COUNTIF($A$2:A20,A20)=1,SUMIF(A:A,A20,Q:Q),"")</f>
        <v/>
      </c>
    </row>
    <row r="21" spans="1:20" ht="15" thickBot="1">
      <c r="A21" s="71"/>
      <c r="B21" s="83"/>
      <c r="C21" s="83"/>
      <c r="D21" s="83"/>
      <c r="E21" s="83"/>
      <c r="F21" s="83"/>
      <c r="G21" s="83"/>
      <c r="H21" s="83"/>
      <c r="I21" s="83"/>
      <c r="J21" s="83"/>
      <c r="K21" s="83"/>
      <c r="L21" s="84"/>
      <c r="M21" s="84"/>
      <c r="N21" s="84"/>
      <c r="O21" s="85"/>
      <c r="P21" s="85"/>
      <c r="Q21" s="85"/>
      <c r="R21" s="85"/>
      <c r="S21" s="85"/>
      <c r="T21" s="166">
        <f>SUM(Tabella2811[Importo stimato per lotto])</f>
        <v>15044316.848156521</v>
      </c>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3F31-5831-41EE-BADB-73643EFB2131}">
  <dimension ref="A1:T3"/>
  <sheetViews>
    <sheetView zoomScale="80" zoomScaleNormal="80" workbookViewId="0">
      <pane xSplit="1" topLeftCell="M1" activePane="topRight" state="frozen"/>
      <selection activeCell="U1" sqref="U1"/>
      <selection pane="topRight" activeCell="U1" sqref="U1"/>
    </sheetView>
  </sheetViews>
  <sheetFormatPr defaultColWidth="9.21875" defaultRowHeight="14.4"/>
  <cols>
    <col min="1" max="1" width="11.44140625" style="50" customWidth="1"/>
    <col min="2" max="2" width="9" style="50" customWidth="1"/>
    <col min="3" max="3" width="13.44140625" style="50" customWidth="1"/>
    <col min="4" max="4" width="23.21875" style="50" customWidth="1"/>
    <col min="5" max="5" width="65.21875" style="50" customWidth="1"/>
    <col min="6" max="6" width="52" style="50" customWidth="1"/>
    <col min="7" max="7" width="25.77734375" style="50" customWidth="1"/>
    <col min="8" max="8" width="28.21875" style="50" customWidth="1"/>
    <col min="9" max="9" width="29.77734375" style="50" customWidth="1"/>
    <col min="10" max="10" width="28.77734375" style="50" customWidth="1"/>
    <col min="11" max="11" width="25.21875" style="50" customWidth="1"/>
    <col min="12" max="12" width="23.21875" customWidth="1"/>
    <col min="13" max="13" width="20" customWidth="1"/>
    <col min="14" max="14" width="26.77734375" customWidth="1"/>
    <col min="15" max="15" width="20" customWidth="1"/>
    <col min="16" max="16" width="26.21875" style="44" customWidth="1"/>
    <col min="17" max="17" width="30.5546875" style="44" customWidth="1"/>
    <col min="18" max="18" width="25.44140625" customWidth="1"/>
    <col min="19" max="19" width="30.77734375" style="51" customWidth="1"/>
    <col min="20" max="20" width="18.5546875" customWidth="1"/>
    <col min="21" max="21" width="14.21875" bestFit="1" customWidth="1"/>
  </cols>
  <sheetData>
    <row r="1" spans="1:20" ht="66.45" customHeight="1" thickBot="1">
      <c r="A1" s="131" t="s">
        <v>626</v>
      </c>
      <c r="B1" s="131" t="s">
        <v>776</v>
      </c>
      <c r="C1" s="131" t="s">
        <v>628</v>
      </c>
      <c r="D1" s="132" t="s">
        <v>777</v>
      </c>
      <c r="E1" s="132" t="s">
        <v>630</v>
      </c>
      <c r="F1" s="133" t="s">
        <v>778</v>
      </c>
      <c r="G1" s="133" t="s">
        <v>632</v>
      </c>
      <c r="H1" s="133" t="s">
        <v>633</v>
      </c>
      <c r="I1" s="133" t="s">
        <v>634</v>
      </c>
      <c r="J1" s="132" t="s">
        <v>635</v>
      </c>
      <c r="K1" s="134" t="s">
        <v>636</v>
      </c>
      <c r="L1" s="135" t="s">
        <v>637</v>
      </c>
      <c r="M1" s="132" t="s">
        <v>638</v>
      </c>
      <c r="N1" s="135" t="s">
        <v>639</v>
      </c>
      <c r="O1" s="136" t="s">
        <v>640</v>
      </c>
      <c r="P1" s="137" t="s">
        <v>641</v>
      </c>
      <c r="Q1" s="137" t="s">
        <v>642</v>
      </c>
      <c r="R1" s="138" t="s">
        <v>643</v>
      </c>
      <c r="S1" s="138" t="s">
        <v>644</v>
      </c>
      <c r="T1" s="138" t="s">
        <v>645</v>
      </c>
    </row>
    <row r="2" spans="1:20" ht="173.4" thickBot="1">
      <c r="A2" s="163" t="s">
        <v>63</v>
      </c>
      <c r="B2" s="164" t="s">
        <v>991</v>
      </c>
      <c r="C2" s="151"/>
      <c r="D2" s="165" t="s">
        <v>471</v>
      </c>
      <c r="E2" s="165" t="s">
        <v>992</v>
      </c>
      <c r="F2" s="151"/>
      <c r="G2" s="151"/>
      <c r="H2" s="151"/>
      <c r="I2" s="151"/>
      <c r="J2" s="151"/>
      <c r="K2" s="151"/>
      <c r="L2" s="152">
        <v>10</v>
      </c>
      <c r="M2" s="152">
        <v>12</v>
      </c>
      <c r="N2" s="153">
        <f>M2*4</f>
        <v>48</v>
      </c>
      <c r="O2" s="140">
        <v>40008.856500000002</v>
      </c>
      <c r="P2" s="140">
        <f>O2/1.15</f>
        <v>34790.310000000005</v>
      </c>
      <c r="Q2" s="140">
        <f>N2*P2</f>
        <v>1669934.8800000004</v>
      </c>
      <c r="R2" s="140">
        <f>Tabella2812[[#This Row],[Importo 48 mesi]]*0.02</f>
        <v>33398.697600000007</v>
      </c>
      <c r="S2" s="140">
        <f>SUM(Tabella2812[[#This Row],[Importo 48 mesi]:[Importo stimato per ricambi]])</f>
        <v>1703333.5776000004</v>
      </c>
      <c r="T2" s="154">
        <f>Tabella2812[[#This Row],[Importo gara]]</f>
        <v>1703333.5776000004</v>
      </c>
    </row>
    <row r="3" spans="1:20" ht="15" thickBot="1">
      <c r="A3" s="71"/>
      <c r="B3" s="83"/>
      <c r="C3" s="83"/>
      <c r="D3" s="83"/>
      <c r="E3" s="83"/>
      <c r="F3" s="83"/>
      <c r="G3" s="83"/>
      <c r="H3" s="83"/>
      <c r="I3" s="83"/>
      <c r="J3" s="83"/>
      <c r="K3" s="83"/>
      <c r="L3" s="84"/>
      <c r="M3" s="84"/>
      <c r="N3" s="84"/>
      <c r="O3" s="85"/>
      <c r="P3" s="85"/>
      <c r="Q3" s="85"/>
      <c r="R3" s="85"/>
      <c r="S3" s="85"/>
      <c r="T3" s="166">
        <f>SUM(Tabella2812[Importo stimato per lotto])</f>
        <v>1703333.5776000004</v>
      </c>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0492-AD7B-4E7B-8F87-3DA6AF48F476}">
  <dimension ref="A1:T19"/>
  <sheetViews>
    <sheetView zoomScale="80" zoomScaleNormal="80" workbookViewId="0">
      <pane xSplit="1" topLeftCell="M1" activePane="topRight" state="frozen"/>
      <selection activeCell="U1" sqref="U1"/>
      <selection pane="topRight" activeCell="U1" sqref="U1"/>
    </sheetView>
  </sheetViews>
  <sheetFormatPr defaultColWidth="9.21875" defaultRowHeight="14.4"/>
  <cols>
    <col min="1" max="1" width="10.44140625" style="50" bestFit="1" customWidth="1"/>
    <col min="2" max="2" width="6.88671875" style="50" bestFit="1" customWidth="1"/>
    <col min="3" max="3" width="17.109375" style="50" bestFit="1" customWidth="1"/>
    <col min="4" max="4" width="23.21875" style="50" customWidth="1"/>
    <col min="5" max="5" width="69.6640625" style="50" bestFit="1" customWidth="1"/>
    <col min="6" max="6" width="51.21875" style="50" bestFit="1" customWidth="1"/>
    <col min="7" max="7" width="23.33203125" style="50" bestFit="1" customWidth="1"/>
    <col min="8" max="8" width="25.6640625" style="50" bestFit="1" customWidth="1"/>
    <col min="9" max="9" width="30.6640625" style="50" bestFit="1" customWidth="1"/>
    <col min="10" max="10" width="27.6640625" style="50" bestFit="1" customWidth="1"/>
    <col min="11" max="11" width="28.21875" style="50" bestFit="1" customWidth="1"/>
    <col min="12" max="12" width="28.21875" bestFit="1" customWidth="1"/>
    <col min="13" max="13" width="21.88671875" bestFit="1" customWidth="1"/>
    <col min="14" max="14" width="31.21875" bestFit="1" customWidth="1"/>
    <col min="15" max="15" width="23.77734375" bestFit="1" customWidth="1"/>
    <col min="16" max="16" width="28" style="44" bestFit="1" customWidth="1"/>
    <col min="17" max="17" width="27.21875" style="44" bestFit="1" customWidth="1"/>
    <col min="18" max="18" width="26.88671875" bestFit="1" customWidth="1"/>
    <col min="19" max="19" width="23.44140625" style="51" bestFit="1" customWidth="1"/>
    <col min="20" max="20" width="20.77734375" bestFit="1" customWidth="1"/>
    <col min="21" max="21" width="14.21875" bestFit="1" customWidth="1"/>
  </cols>
  <sheetData>
    <row r="1" spans="1:20" ht="65.400000000000006" thickBot="1">
      <c r="A1" s="131" t="s">
        <v>626</v>
      </c>
      <c r="B1" s="131" t="s">
        <v>776</v>
      </c>
      <c r="C1" s="131" t="s">
        <v>628</v>
      </c>
      <c r="D1" s="132" t="s">
        <v>777</v>
      </c>
      <c r="E1" s="132" t="s">
        <v>630</v>
      </c>
      <c r="F1" s="133" t="s">
        <v>778</v>
      </c>
      <c r="G1" s="133" t="s">
        <v>632</v>
      </c>
      <c r="H1" s="133" t="s">
        <v>633</v>
      </c>
      <c r="I1" s="133" t="s">
        <v>634</v>
      </c>
      <c r="J1" s="132" t="s">
        <v>635</v>
      </c>
      <c r="K1" s="134" t="s">
        <v>636</v>
      </c>
      <c r="L1" s="135" t="s">
        <v>637</v>
      </c>
      <c r="M1" s="132" t="s">
        <v>638</v>
      </c>
      <c r="N1" s="135" t="s">
        <v>639</v>
      </c>
      <c r="O1" s="136" t="s">
        <v>640</v>
      </c>
      <c r="P1" s="137" t="s">
        <v>641</v>
      </c>
      <c r="Q1" s="137" t="s">
        <v>642</v>
      </c>
      <c r="R1" s="138" t="s">
        <v>643</v>
      </c>
      <c r="S1" s="138" t="s">
        <v>644</v>
      </c>
      <c r="T1" s="138" t="s">
        <v>645</v>
      </c>
    </row>
    <row r="2" spans="1:20" ht="101.4" thickBot="1">
      <c r="A2" s="60" t="s">
        <v>23</v>
      </c>
      <c r="B2" s="52" t="s">
        <v>993</v>
      </c>
      <c r="C2" s="34"/>
      <c r="D2" s="155" t="s">
        <v>129</v>
      </c>
      <c r="E2" s="155" t="s">
        <v>994</v>
      </c>
      <c r="F2" s="106" t="s">
        <v>1369</v>
      </c>
      <c r="G2" s="106"/>
      <c r="H2" s="106"/>
      <c r="I2" s="106" t="s">
        <v>995</v>
      </c>
      <c r="J2" s="30"/>
      <c r="K2" s="146" t="s">
        <v>996</v>
      </c>
      <c r="L2" s="30">
        <v>304</v>
      </c>
      <c r="M2" s="30">
        <v>304</v>
      </c>
      <c r="N2" s="30">
        <f t="shared" ref="N2:N18" si="0">M2*4</f>
        <v>1216</v>
      </c>
      <c r="O2" s="35">
        <v>293.73299999999995</v>
      </c>
      <c r="P2" s="35">
        <f t="shared" ref="P2:P18" si="1">O2/1.15</f>
        <v>255.42</v>
      </c>
      <c r="Q2" s="35">
        <f t="shared" ref="Q2:Q18" si="2">N2*P2</f>
        <v>310590.71999999997</v>
      </c>
      <c r="R2" s="35">
        <f>Tabella2813[[#This Row],[Importo 48 mesi]]*0.01</f>
        <v>3105.9071999999996</v>
      </c>
      <c r="S2" s="35">
        <f>SUM(Tabella2813[[#This Row],[Importo 48 mesi]:[Importo stimato per ricambi]])</f>
        <v>313696.62719999999</v>
      </c>
      <c r="T2" s="53">
        <f>SUM(S2:S18)</f>
        <v>8537113.9595999997</v>
      </c>
    </row>
    <row r="3" spans="1:20" ht="101.4" thickBot="1">
      <c r="A3" s="33" t="s">
        <v>23</v>
      </c>
      <c r="B3" s="54" t="s">
        <v>997</v>
      </c>
      <c r="C3" s="36"/>
      <c r="D3" s="45" t="s">
        <v>132</v>
      </c>
      <c r="E3" s="45" t="s">
        <v>998</v>
      </c>
      <c r="F3" s="106" t="s">
        <v>1370</v>
      </c>
      <c r="G3" s="107"/>
      <c r="H3" s="107"/>
      <c r="I3" s="107" t="s">
        <v>995</v>
      </c>
      <c r="J3" s="37"/>
      <c r="K3" s="146" t="s">
        <v>996</v>
      </c>
      <c r="L3" s="37">
        <v>42</v>
      </c>
      <c r="M3" s="37">
        <v>42</v>
      </c>
      <c r="N3" s="37">
        <f t="shared" si="0"/>
        <v>168</v>
      </c>
      <c r="O3" s="31">
        <v>610.01750000000004</v>
      </c>
      <c r="P3" s="31">
        <f t="shared" si="1"/>
        <v>530.45000000000005</v>
      </c>
      <c r="Q3" s="31">
        <f t="shared" si="2"/>
        <v>89115.6</v>
      </c>
      <c r="R3" s="31">
        <f>Tabella2813[[#This Row],[Importo 48 mesi]]*0.01</f>
        <v>891.15600000000006</v>
      </c>
      <c r="S3" s="31">
        <f>SUM(Tabella2813[[#This Row],[Importo 48 mesi]:[Importo stimato per ricambi]])</f>
        <v>90006.756000000008</v>
      </c>
      <c r="T3" s="55" t="str">
        <f>IF(COUNTIF($A$2:A3,A3)=1,SUMIF(A:A,A3,Q:Q),"")</f>
        <v/>
      </c>
    </row>
    <row r="4" spans="1:20" ht="101.4" thickBot="1">
      <c r="A4" s="33" t="s">
        <v>23</v>
      </c>
      <c r="B4" s="54" t="s">
        <v>999</v>
      </c>
      <c r="C4" s="36"/>
      <c r="D4" s="45" t="s">
        <v>1000</v>
      </c>
      <c r="E4" s="45" t="s">
        <v>1371</v>
      </c>
      <c r="F4" s="106" t="s">
        <v>1001</v>
      </c>
      <c r="G4" s="107"/>
      <c r="H4" s="107"/>
      <c r="I4" s="107" t="s">
        <v>1002</v>
      </c>
      <c r="J4" s="37"/>
      <c r="K4" s="147" t="s">
        <v>781</v>
      </c>
      <c r="L4" s="37">
        <v>88</v>
      </c>
      <c r="M4" s="37">
        <v>88</v>
      </c>
      <c r="N4" s="37">
        <f t="shared" si="0"/>
        <v>352</v>
      </c>
      <c r="O4" s="31">
        <v>417.54200000000003</v>
      </c>
      <c r="P4" s="31">
        <f t="shared" si="1"/>
        <v>363.08000000000004</v>
      </c>
      <c r="Q4" s="31">
        <f t="shared" si="2"/>
        <v>127804.16000000002</v>
      </c>
      <c r="R4" s="31">
        <f>Tabella2813[[#This Row],[Importo 48 mesi]]*0.01</f>
        <v>1278.0416000000002</v>
      </c>
      <c r="S4" s="31">
        <f>SUM(Tabella2813[[#This Row],[Importo 48 mesi]:[Importo stimato per ricambi]])</f>
        <v>129082.20160000001</v>
      </c>
      <c r="T4" s="55" t="str">
        <f>IF(COUNTIF($A$2:A4,A4)=1,SUMIF(A:A,A4,Q:Q),"")</f>
        <v/>
      </c>
    </row>
    <row r="5" spans="1:20" ht="101.4" thickBot="1">
      <c r="A5" s="33" t="s">
        <v>23</v>
      </c>
      <c r="B5" s="54" t="s">
        <v>1003</v>
      </c>
      <c r="C5" s="36"/>
      <c r="D5" s="45" t="s">
        <v>138</v>
      </c>
      <c r="E5" s="45" t="s">
        <v>1004</v>
      </c>
      <c r="F5" s="106" t="s">
        <v>1005</v>
      </c>
      <c r="G5" s="107"/>
      <c r="H5" s="156"/>
      <c r="I5" s="106" t="s">
        <v>1006</v>
      </c>
      <c r="J5" s="37"/>
      <c r="K5" s="147" t="s">
        <v>781</v>
      </c>
      <c r="L5" s="37">
        <v>171</v>
      </c>
      <c r="M5" s="37">
        <v>171</v>
      </c>
      <c r="N5" s="37">
        <f t="shared" si="0"/>
        <v>684</v>
      </c>
      <c r="O5" s="31">
        <v>439.44949999999994</v>
      </c>
      <c r="P5" s="31">
        <f t="shared" si="1"/>
        <v>382.13</v>
      </c>
      <c r="Q5" s="31">
        <f t="shared" si="2"/>
        <v>261376.91999999998</v>
      </c>
      <c r="R5" s="31">
        <f>Tabella2813[[#This Row],[Importo 48 mesi]]*0.01</f>
        <v>2613.7691999999997</v>
      </c>
      <c r="S5" s="31">
        <f>SUM(Tabella2813[[#This Row],[Importo 48 mesi]:[Importo stimato per ricambi]])</f>
        <v>263990.68919999996</v>
      </c>
      <c r="T5" s="55" t="str">
        <f>IF(COUNTIF($A$2:A5,A5)=1,SUMIF(A:A,A5,Q:Q),"")</f>
        <v/>
      </c>
    </row>
    <row r="6" spans="1:20" ht="130.19999999999999" thickBot="1">
      <c r="A6" s="33" t="s">
        <v>23</v>
      </c>
      <c r="B6" s="54" t="s">
        <v>1007</v>
      </c>
      <c r="C6" s="36"/>
      <c r="D6" s="45" t="s">
        <v>1215</v>
      </c>
      <c r="E6" s="45" t="s">
        <v>1372</v>
      </c>
      <c r="F6" s="106" t="s">
        <v>1373</v>
      </c>
      <c r="G6" s="107"/>
      <c r="H6" s="107"/>
      <c r="I6" s="107" t="s">
        <v>1008</v>
      </c>
      <c r="J6" s="37"/>
      <c r="K6" s="147" t="s">
        <v>1009</v>
      </c>
      <c r="L6" s="37">
        <v>222</v>
      </c>
      <c r="M6" s="37">
        <v>160</v>
      </c>
      <c r="N6" s="37">
        <f t="shared" si="0"/>
        <v>640</v>
      </c>
      <c r="O6" s="31">
        <v>3829.4999999999995</v>
      </c>
      <c r="P6" s="31">
        <f t="shared" si="1"/>
        <v>3330</v>
      </c>
      <c r="Q6" s="31">
        <f t="shared" si="2"/>
        <v>2131200</v>
      </c>
      <c r="R6" s="31">
        <f>Tabella2813[[#This Row],[Importo 48 mesi]]*0.002</f>
        <v>4262.3999999999996</v>
      </c>
      <c r="S6" s="31">
        <f>SUM(Tabella2813[[#This Row],[Importo 48 mesi]:[Importo stimato per ricambi]])</f>
        <v>2135462.4</v>
      </c>
      <c r="T6" s="55" t="str">
        <f>IF(COUNTIF($A$2:A6,A6)=1,SUMIF(A:A,A6,Q:Q),"")</f>
        <v/>
      </c>
    </row>
    <row r="7" spans="1:20" ht="130.19999999999999" thickBot="1">
      <c r="A7" s="33" t="s">
        <v>23</v>
      </c>
      <c r="B7" s="54" t="s">
        <v>1010</v>
      </c>
      <c r="C7" s="36"/>
      <c r="D7" s="45" t="s">
        <v>1217</v>
      </c>
      <c r="E7" s="45" t="s">
        <v>1011</v>
      </c>
      <c r="F7" s="106" t="s">
        <v>1374</v>
      </c>
      <c r="G7" s="107"/>
      <c r="H7" s="107"/>
      <c r="I7" s="107" t="s">
        <v>1012</v>
      </c>
      <c r="J7" s="37"/>
      <c r="K7" s="147" t="s">
        <v>1013</v>
      </c>
      <c r="L7" s="37">
        <v>8</v>
      </c>
      <c r="M7" s="37">
        <v>8</v>
      </c>
      <c r="N7" s="37">
        <f t="shared" si="0"/>
        <v>32</v>
      </c>
      <c r="O7" s="31">
        <v>4521.7999999999993</v>
      </c>
      <c r="P7" s="31">
        <f t="shared" si="1"/>
        <v>3931.9999999999995</v>
      </c>
      <c r="Q7" s="31">
        <f t="shared" si="2"/>
        <v>125823.99999999999</v>
      </c>
      <c r="R7" s="31">
        <f>Tabella2813[[#This Row],[Importo 48 mesi]]*0.002</f>
        <v>251.64799999999997</v>
      </c>
      <c r="S7" s="31">
        <f>SUM(Tabella2813[[#This Row],[Importo 48 mesi]:[Importo stimato per ricambi]])</f>
        <v>126075.64799999999</v>
      </c>
      <c r="T7" s="55" t="str">
        <f>IF(COUNTIF($A$2:A7,A7)=1,SUMIF(A:A,A7,Q:Q),"")</f>
        <v/>
      </c>
    </row>
    <row r="8" spans="1:20" ht="130.19999999999999" thickBot="1">
      <c r="A8" s="33" t="s">
        <v>23</v>
      </c>
      <c r="B8" s="54" t="s">
        <v>1014</v>
      </c>
      <c r="C8" s="36"/>
      <c r="D8" s="45" t="s">
        <v>1375</v>
      </c>
      <c r="E8" s="45" t="s">
        <v>1015</v>
      </c>
      <c r="F8" s="106" t="s">
        <v>1376</v>
      </c>
      <c r="G8" s="107"/>
      <c r="H8" s="107"/>
      <c r="I8" s="107" t="s">
        <v>1012</v>
      </c>
      <c r="J8" s="37"/>
      <c r="K8" s="147" t="s">
        <v>1016</v>
      </c>
      <c r="L8" s="37">
        <v>52</v>
      </c>
      <c r="M8" s="37">
        <v>52</v>
      </c>
      <c r="N8" s="37">
        <f t="shared" si="0"/>
        <v>208</v>
      </c>
      <c r="O8" s="31">
        <v>5123.25</v>
      </c>
      <c r="P8" s="31">
        <f t="shared" si="1"/>
        <v>4455</v>
      </c>
      <c r="Q8" s="31">
        <f t="shared" si="2"/>
        <v>926640</v>
      </c>
      <c r="R8" s="31">
        <f>Tabella2813[[#This Row],[Importo 48 mesi]]*0.002</f>
        <v>1853.28</v>
      </c>
      <c r="S8" s="31">
        <f>SUM(Tabella2813[[#This Row],[Importo 48 mesi]:[Importo stimato per ricambi]])</f>
        <v>928493.28</v>
      </c>
      <c r="T8" s="55" t="str">
        <f>IF(COUNTIF($A$2:A8,A8)=1,SUMIF(A:A,A8,Q:Q),"")</f>
        <v/>
      </c>
    </row>
    <row r="9" spans="1:20" ht="159" thickBot="1">
      <c r="A9" s="33" t="s">
        <v>23</v>
      </c>
      <c r="B9" s="54" t="s">
        <v>1017</v>
      </c>
      <c r="C9" s="36"/>
      <c r="D9" s="45" t="s">
        <v>1229</v>
      </c>
      <c r="E9" s="45" t="s">
        <v>1018</v>
      </c>
      <c r="F9" s="106" t="s">
        <v>1377</v>
      </c>
      <c r="G9" s="107"/>
      <c r="H9" s="107"/>
      <c r="I9" s="107" t="s">
        <v>1019</v>
      </c>
      <c r="J9" s="37"/>
      <c r="K9" s="147" t="s">
        <v>1020</v>
      </c>
      <c r="L9" s="37">
        <v>19</v>
      </c>
      <c r="M9" s="37">
        <v>12</v>
      </c>
      <c r="N9" s="37">
        <f t="shared" si="0"/>
        <v>48</v>
      </c>
      <c r="O9" s="31">
        <v>16392.099999999999</v>
      </c>
      <c r="P9" s="31">
        <f t="shared" si="1"/>
        <v>14254</v>
      </c>
      <c r="Q9" s="31">
        <f t="shared" si="2"/>
        <v>684192</v>
      </c>
      <c r="R9" s="31">
        <f>Tabella2813[[#This Row],[Importo 48 mesi]]*0.01</f>
        <v>6841.92</v>
      </c>
      <c r="S9" s="31">
        <f>SUM(Tabella2813[[#This Row],[Importo 48 mesi]:[Importo stimato per ricambi]])</f>
        <v>691033.92</v>
      </c>
      <c r="T9" s="55" t="str">
        <f>IF(COUNTIF($A$2:A9,A9)=1,SUMIF(A:A,A9,Q:Q),"")</f>
        <v/>
      </c>
    </row>
    <row r="10" spans="1:20" ht="130.19999999999999" thickBot="1">
      <c r="A10" s="33" t="s">
        <v>23</v>
      </c>
      <c r="B10" s="54" t="s">
        <v>1021</v>
      </c>
      <c r="C10" s="36"/>
      <c r="D10" s="45" t="s">
        <v>1221</v>
      </c>
      <c r="E10" s="45" t="s">
        <v>1022</v>
      </c>
      <c r="F10" s="106" t="s">
        <v>1378</v>
      </c>
      <c r="G10" s="107"/>
      <c r="H10" s="107"/>
      <c r="I10" s="107" t="s">
        <v>1023</v>
      </c>
      <c r="J10" s="37"/>
      <c r="K10" s="147" t="s">
        <v>1024</v>
      </c>
      <c r="L10" s="37">
        <v>54</v>
      </c>
      <c r="M10" s="37">
        <v>54</v>
      </c>
      <c r="N10" s="37">
        <f t="shared" si="0"/>
        <v>216</v>
      </c>
      <c r="O10" s="31">
        <v>3313.1499999999996</v>
      </c>
      <c r="P10" s="31">
        <f t="shared" si="1"/>
        <v>2881</v>
      </c>
      <c r="Q10" s="31">
        <f t="shared" si="2"/>
        <v>622296</v>
      </c>
      <c r="R10" s="31">
        <f>Tabella2813[[#This Row],[Importo 48 mesi]]*0.002</f>
        <v>1244.5920000000001</v>
      </c>
      <c r="S10" s="31">
        <f>SUM(Tabella2813[[#This Row],[Importo 48 mesi]:[Importo stimato per ricambi]])</f>
        <v>623540.59199999995</v>
      </c>
      <c r="T10" s="55" t="str">
        <f>IF(COUNTIF($A$2:A10,A10)=1,SUMIF(A:A,A10,Q:Q),"")</f>
        <v/>
      </c>
    </row>
    <row r="11" spans="1:20" ht="144.6" thickBot="1">
      <c r="A11" s="33" t="s">
        <v>23</v>
      </c>
      <c r="B11" s="54" t="s">
        <v>1025</v>
      </c>
      <c r="C11" s="36"/>
      <c r="D11" s="45" t="s">
        <v>1379</v>
      </c>
      <c r="E11" s="45" t="s">
        <v>1026</v>
      </c>
      <c r="F11" s="106" t="s">
        <v>1380</v>
      </c>
      <c r="G11" s="107"/>
      <c r="H11" s="107"/>
      <c r="I11" s="107" t="s">
        <v>1012</v>
      </c>
      <c r="J11" s="37"/>
      <c r="K11" s="147" t="s">
        <v>1024</v>
      </c>
      <c r="L11" s="37">
        <v>196</v>
      </c>
      <c r="M11" s="37">
        <v>180</v>
      </c>
      <c r="N11" s="37">
        <f t="shared" si="0"/>
        <v>720</v>
      </c>
      <c r="O11" s="31">
        <v>3351.1</v>
      </c>
      <c r="P11" s="31">
        <f t="shared" si="1"/>
        <v>2914</v>
      </c>
      <c r="Q11" s="31">
        <f t="shared" si="2"/>
        <v>2098080</v>
      </c>
      <c r="R11" s="31">
        <f>Tabella2813[[#This Row],[Importo 48 mesi]]*0.002</f>
        <v>4196.16</v>
      </c>
      <c r="S11" s="31">
        <f>SUM(Tabella2813[[#This Row],[Importo 48 mesi]:[Importo stimato per ricambi]])</f>
        <v>2102276.16</v>
      </c>
      <c r="T11" s="55" t="str">
        <f>IF(COUNTIF($A$2:A11,A11)=1,SUMIF(A:A,A11,Q:Q),"")</f>
        <v/>
      </c>
    </row>
    <row r="12" spans="1:20" ht="159" thickBot="1">
      <c r="A12" s="33" t="s">
        <v>23</v>
      </c>
      <c r="B12" s="54" t="s">
        <v>1027</v>
      </c>
      <c r="C12" s="36"/>
      <c r="D12" s="45" t="s">
        <v>1225</v>
      </c>
      <c r="E12" s="45" t="s">
        <v>1028</v>
      </c>
      <c r="F12" s="106" t="s">
        <v>1381</v>
      </c>
      <c r="G12" s="107"/>
      <c r="H12" s="107"/>
      <c r="I12" s="107" t="s">
        <v>1029</v>
      </c>
      <c r="J12" s="37"/>
      <c r="K12" s="147" t="s">
        <v>1024</v>
      </c>
      <c r="L12" s="37">
        <v>0</v>
      </c>
      <c r="M12" s="37">
        <v>5</v>
      </c>
      <c r="N12" s="37">
        <f t="shared" si="0"/>
        <v>20</v>
      </c>
      <c r="O12" s="31">
        <v>2612.7999999999997</v>
      </c>
      <c r="P12" s="31">
        <f t="shared" si="1"/>
        <v>2272</v>
      </c>
      <c r="Q12" s="31">
        <f t="shared" si="2"/>
        <v>45440</v>
      </c>
      <c r="R12" s="31">
        <f>Tabella2813[[#This Row],[Importo 48 mesi]]*0.001</f>
        <v>45.44</v>
      </c>
      <c r="S12" s="31">
        <f>SUM(Tabella2813[[#This Row],[Importo 48 mesi]:[Importo stimato per ricambi]])</f>
        <v>45485.440000000002</v>
      </c>
      <c r="T12" s="55" t="str">
        <f>IF(COUNTIF($A$2:A12,A12)=1,SUMIF(A:A,A12,Q:Q),"")</f>
        <v/>
      </c>
    </row>
    <row r="13" spans="1:20" ht="58.2" thickBot="1">
      <c r="A13" s="33" t="s">
        <v>23</v>
      </c>
      <c r="B13" s="54" t="s">
        <v>1030</v>
      </c>
      <c r="C13" s="36"/>
      <c r="D13" s="45" t="s">
        <v>150</v>
      </c>
      <c r="E13" s="45" t="s">
        <v>1031</v>
      </c>
      <c r="F13" s="106" t="s">
        <v>1032</v>
      </c>
      <c r="G13" s="107"/>
      <c r="H13" s="107"/>
      <c r="I13" s="107" t="s">
        <v>1033</v>
      </c>
      <c r="J13" s="37"/>
      <c r="K13" s="147" t="s">
        <v>781</v>
      </c>
      <c r="L13" s="37">
        <v>158</v>
      </c>
      <c r="M13" s="37">
        <v>158</v>
      </c>
      <c r="N13" s="37">
        <f t="shared" si="0"/>
        <v>632</v>
      </c>
      <c r="O13" s="31">
        <v>61.594000000000001</v>
      </c>
      <c r="P13" s="31">
        <f t="shared" si="1"/>
        <v>53.56</v>
      </c>
      <c r="Q13" s="31">
        <f t="shared" si="2"/>
        <v>33849.919999999998</v>
      </c>
      <c r="R13" s="31">
        <f>Tabella2813[[#This Row],[Importo 48 mesi]]*0</f>
        <v>0</v>
      </c>
      <c r="S13" s="31">
        <f>SUM(Tabella2813[[#This Row],[Importo 48 mesi]:[Importo stimato per ricambi]])</f>
        <v>33849.919999999998</v>
      </c>
      <c r="T13" s="55" t="str">
        <f>IF(COUNTIF($A$2:A13,A13)=1,SUMIF(A:A,A13,Q:Q),"")</f>
        <v/>
      </c>
    </row>
    <row r="14" spans="1:20" ht="72.599999999999994" thickBot="1">
      <c r="A14" s="33" t="s">
        <v>23</v>
      </c>
      <c r="B14" s="54" t="s">
        <v>1034</v>
      </c>
      <c r="C14" s="36"/>
      <c r="D14" s="45" t="s">
        <v>153</v>
      </c>
      <c r="E14" s="45" t="s">
        <v>1035</v>
      </c>
      <c r="F14" s="106" t="s">
        <v>1036</v>
      </c>
      <c r="G14" s="107"/>
      <c r="H14" s="107"/>
      <c r="I14" s="107" t="s">
        <v>1037</v>
      </c>
      <c r="J14" s="37"/>
      <c r="K14" s="147" t="s">
        <v>1024</v>
      </c>
      <c r="L14" s="37">
        <v>0</v>
      </c>
      <c r="M14" s="37">
        <v>5</v>
      </c>
      <c r="N14" s="37">
        <f t="shared" si="0"/>
        <v>20</v>
      </c>
      <c r="O14" s="31">
        <v>1235.0999999999999</v>
      </c>
      <c r="P14" s="31">
        <f t="shared" si="1"/>
        <v>1074</v>
      </c>
      <c r="Q14" s="31">
        <f t="shared" si="2"/>
        <v>21480</v>
      </c>
      <c r="R14" s="31">
        <f>Tabella2813[[#This Row],[Importo 48 mesi]]*0.01</f>
        <v>214.8</v>
      </c>
      <c r="S14" s="31">
        <f>SUM(Tabella2813[[#This Row],[Importo 48 mesi]:[Importo stimato per ricambi]])</f>
        <v>21694.799999999999</v>
      </c>
      <c r="T14" s="55" t="str">
        <f>IF(COUNTIF($A$2:A14,A14)=1,SUMIF(A:A,A14,Q:Q),"")</f>
        <v/>
      </c>
    </row>
    <row r="15" spans="1:20" ht="101.4" thickBot="1">
      <c r="A15" s="33" t="s">
        <v>23</v>
      </c>
      <c r="B15" s="54" t="s">
        <v>1038</v>
      </c>
      <c r="C15" s="36"/>
      <c r="D15" s="45" t="s">
        <v>162</v>
      </c>
      <c r="E15" s="45" t="s">
        <v>1039</v>
      </c>
      <c r="F15" s="106" t="s">
        <v>1040</v>
      </c>
      <c r="G15" s="107"/>
      <c r="H15" s="107"/>
      <c r="I15" s="107" t="s">
        <v>1041</v>
      </c>
      <c r="J15" s="37"/>
      <c r="K15" s="147" t="s">
        <v>1024</v>
      </c>
      <c r="L15" s="37">
        <v>23</v>
      </c>
      <c r="M15" s="37">
        <v>30</v>
      </c>
      <c r="N15" s="37">
        <f t="shared" si="0"/>
        <v>120</v>
      </c>
      <c r="O15" s="31">
        <v>4708.3874999999998</v>
      </c>
      <c r="P15" s="31">
        <f t="shared" si="1"/>
        <v>4094.25</v>
      </c>
      <c r="Q15" s="31">
        <f t="shared" si="2"/>
        <v>491310</v>
      </c>
      <c r="R15" s="31">
        <f>Tabella2813[[#This Row],[Importo 48 mesi]]*0.01</f>
        <v>4913.1000000000004</v>
      </c>
      <c r="S15" s="31">
        <f>SUM(Tabella2813[[#This Row],[Importo 48 mesi]:[Importo stimato per ricambi]])</f>
        <v>496223.1</v>
      </c>
      <c r="T15" s="55" t="str">
        <f>IF(COUNTIF($A$2:A15,A15)=1,SUMIF(A:A,A15,Q:Q),"")</f>
        <v/>
      </c>
    </row>
    <row r="16" spans="1:20" ht="115.8" thickBot="1">
      <c r="A16" s="33" t="s">
        <v>23</v>
      </c>
      <c r="B16" s="54" t="s">
        <v>1042</v>
      </c>
      <c r="C16" s="36"/>
      <c r="D16" s="45" t="s">
        <v>165</v>
      </c>
      <c r="E16" s="45" t="s">
        <v>1043</v>
      </c>
      <c r="F16" s="106" t="s">
        <v>1044</v>
      </c>
      <c r="G16" s="107"/>
      <c r="H16" s="107"/>
      <c r="I16" s="107" t="s">
        <v>1045</v>
      </c>
      <c r="J16" s="37"/>
      <c r="K16" s="147" t="s">
        <v>917</v>
      </c>
      <c r="L16" s="37">
        <v>6</v>
      </c>
      <c r="M16" s="37">
        <v>12</v>
      </c>
      <c r="N16" s="37">
        <f t="shared" si="0"/>
        <v>48</v>
      </c>
      <c r="O16" s="31">
        <v>4582.8305</v>
      </c>
      <c r="P16" s="31">
        <f t="shared" si="1"/>
        <v>3985.07</v>
      </c>
      <c r="Q16" s="31">
        <f t="shared" si="2"/>
        <v>191283.36000000002</v>
      </c>
      <c r="R16" s="31">
        <f>Tabella2813[[#This Row],[Importo 48 mesi]]*0.01</f>
        <v>1912.8336000000002</v>
      </c>
      <c r="S16" s="31">
        <f>SUM(Tabella2813[[#This Row],[Importo 48 mesi]:[Importo stimato per ricambi]])</f>
        <v>193196.19360000003</v>
      </c>
      <c r="T16" s="55" t="str">
        <f>IF(COUNTIF($A$2:A16,A16)=1,SUMIF(A:A,A16,Q:Q),"")</f>
        <v/>
      </c>
    </row>
    <row r="17" spans="1:20" ht="130.19999999999999" thickBot="1">
      <c r="A17" s="33" t="s">
        <v>23</v>
      </c>
      <c r="B17" s="54" t="s">
        <v>1046</v>
      </c>
      <c r="C17" s="36"/>
      <c r="D17" s="45" t="s">
        <v>168</v>
      </c>
      <c r="E17" s="45" t="s">
        <v>1047</v>
      </c>
      <c r="F17" s="106" t="s">
        <v>1048</v>
      </c>
      <c r="G17" s="107"/>
      <c r="H17" s="107"/>
      <c r="I17" s="107" t="s">
        <v>1049</v>
      </c>
      <c r="J17" s="37"/>
      <c r="K17" s="147" t="s">
        <v>781</v>
      </c>
      <c r="L17" s="37">
        <v>3</v>
      </c>
      <c r="M17" s="37">
        <v>5</v>
      </c>
      <c r="N17" s="37">
        <f t="shared" si="0"/>
        <v>20</v>
      </c>
      <c r="O17" s="31">
        <v>3987.0269999999996</v>
      </c>
      <c r="P17" s="31">
        <f t="shared" si="1"/>
        <v>3466.98</v>
      </c>
      <c r="Q17" s="31">
        <f t="shared" si="2"/>
        <v>69339.600000000006</v>
      </c>
      <c r="R17" s="31">
        <f>Tabella2813[[#This Row],[Importo 48 mesi]]*0.02</f>
        <v>1386.7920000000001</v>
      </c>
      <c r="S17" s="31">
        <f>SUM(Tabella2813[[#This Row],[Importo 48 mesi]:[Importo stimato per ricambi]])</f>
        <v>70726.392000000007</v>
      </c>
      <c r="T17" s="55" t="str">
        <f>IF(COUNTIF($A$2:A17,A17)=1,SUMIF(A:A,A17,Q:Q),"")</f>
        <v/>
      </c>
    </row>
    <row r="18" spans="1:20" ht="58.2" thickBot="1">
      <c r="A18" s="46" t="s">
        <v>23</v>
      </c>
      <c r="B18" s="58" t="s">
        <v>1050</v>
      </c>
      <c r="C18" s="39"/>
      <c r="D18" s="157" t="s">
        <v>1051</v>
      </c>
      <c r="E18" s="157" t="s">
        <v>1052</v>
      </c>
      <c r="F18" s="106" t="s">
        <v>1382</v>
      </c>
      <c r="G18" s="108"/>
      <c r="H18" s="108"/>
      <c r="I18" s="108" t="s">
        <v>1053</v>
      </c>
      <c r="J18" s="38"/>
      <c r="K18" s="148" t="s">
        <v>960</v>
      </c>
      <c r="L18" s="38">
        <v>116</v>
      </c>
      <c r="M18" s="38">
        <v>116</v>
      </c>
      <c r="N18" s="38">
        <f t="shared" si="0"/>
        <v>464</v>
      </c>
      <c r="O18" s="32">
        <v>668.15</v>
      </c>
      <c r="P18" s="32">
        <f t="shared" si="1"/>
        <v>581</v>
      </c>
      <c r="Q18" s="32">
        <f t="shared" si="2"/>
        <v>269584</v>
      </c>
      <c r="R18" s="32">
        <f>Tabella2813[[#This Row],[Importo 48 mesi]]*0.01</f>
        <v>2695.84</v>
      </c>
      <c r="S18" s="31">
        <f>SUM(Tabella2813[[#This Row],[Importo 48 mesi]:[Importo stimato per ricambi]])</f>
        <v>272279.84000000003</v>
      </c>
      <c r="T18" s="59" t="str">
        <f>IF(COUNTIF($A$2:A18,A18)=1,SUMIF(A:A,A18,Q:Q),"")</f>
        <v/>
      </c>
    </row>
    <row r="19" spans="1:20" ht="15" thickBot="1">
      <c r="A19" s="71"/>
      <c r="B19" s="83"/>
      <c r="C19" s="83"/>
      <c r="D19" s="83"/>
      <c r="E19" s="83"/>
      <c r="F19" s="83"/>
      <c r="G19" s="83"/>
      <c r="H19" s="83"/>
      <c r="I19" s="83"/>
      <c r="J19" s="83"/>
      <c r="K19" s="83"/>
      <c r="L19" s="84"/>
      <c r="M19" s="84"/>
      <c r="N19" s="84"/>
      <c r="O19" s="85"/>
      <c r="P19" s="85"/>
      <c r="Q19" s="85"/>
      <c r="R19" s="85"/>
      <c r="S19" s="85"/>
      <c r="T19" s="166">
        <f>SUM(Tabella2813[Importo stimato per lotto])</f>
        <v>8537113.9595999997</v>
      </c>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98ACA-C9E4-4449-BC9B-466E36AFC48C}">
  <dimension ref="A1:V44"/>
  <sheetViews>
    <sheetView workbookViewId="0">
      <selection activeCell="E16" sqref="E16"/>
    </sheetView>
  </sheetViews>
  <sheetFormatPr defaultRowHeight="14.4"/>
  <cols>
    <col min="1" max="1" width="4" bestFit="1" customWidth="1"/>
    <col min="2" max="2" width="6" bestFit="1" customWidth="1"/>
    <col min="4" max="4" width="5" bestFit="1" customWidth="1"/>
    <col min="5" max="5" width="7" bestFit="1" customWidth="1"/>
    <col min="6" max="6" width="4" bestFit="1" customWidth="1"/>
    <col min="8" max="8" width="65.5546875" bestFit="1" customWidth="1"/>
    <col min="16" max="16" width="3" bestFit="1" customWidth="1"/>
    <col min="17" max="17" width="11.77734375" bestFit="1" customWidth="1"/>
    <col min="18" max="18" width="5" bestFit="1" customWidth="1"/>
    <col min="19" max="19" width="11.77734375" bestFit="1" customWidth="1"/>
    <col min="22" max="22" width="4" bestFit="1" customWidth="1"/>
  </cols>
  <sheetData>
    <row r="1" spans="1:22">
      <c r="A1" s="37">
        <v>25</v>
      </c>
      <c r="B1">
        <f>A1*0.65</f>
        <v>16.25</v>
      </c>
      <c r="D1" s="61">
        <v>180</v>
      </c>
      <c r="E1">
        <f>D1*0.75</f>
        <v>135</v>
      </c>
      <c r="F1">
        <f>_xlfn.CEILING.MATH(E1)</f>
        <v>135</v>
      </c>
      <c r="P1">
        <v>1</v>
      </c>
      <c r="Q1" s="76">
        <v>54.889499999999991</v>
      </c>
      <c r="R1" s="79">
        <v>1.1499999999999999</v>
      </c>
      <c r="S1" s="51">
        <f>Q1/R1</f>
        <v>47.73</v>
      </c>
    </row>
    <row r="2" spans="1:22" ht="15" thickBot="1">
      <c r="A2" s="72">
        <v>13</v>
      </c>
      <c r="B2">
        <f t="shared" ref="B2:B5" si="0">A2*0.65</f>
        <v>8.4500000000000011</v>
      </c>
      <c r="D2" s="73">
        <v>90</v>
      </c>
      <c r="E2">
        <f t="shared" ref="E2:E44" si="1">D2*0.75</f>
        <v>67.5</v>
      </c>
      <c r="F2">
        <f t="shared" ref="F2:F44" si="2">_xlfn.CEILING.MATH(E2)</f>
        <v>68</v>
      </c>
      <c r="H2" t="s">
        <v>1054</v>
      </c>
      <c r="P2">
        <v>2</v>
      </c>
      <c r="Q2" s="62">
        <v>313.5</v>
      </c>
      <c r="R2">
        <v>1.1000000000000001</v>
      </c>
      <c r="S2" s="51">
        <f t="shared" ref="S2:S21" si="3">Q2/R2</f>
        <v>285</v>
      </c>
      <c r="V2" s="100">
        <v>3</v>
      </c>
    </row>
    <row r="3" spans="1:22" ht="15" thickBot="1">
      <c r="A3" s="37">
        <v>10</v>
      </c>
      <c r="B3">
        <f t="shared" si="0"/>
        <v>6.5</v>
      </c>
      <c r="D3" s="29">
        <v>50</v>
      </c>
      <c r="E3">
        <f t="shared" si="1"/>
        <v>37.5</v>
      </c>
      <c r="F3">
        <f t="shared" si="2"/>
        <v>38</v>
      </c>
      <c r="H3" t="s">
        <v>1055</v>
      </c>
      <c r="P3">
        <v>3</v>
      </c>
      <c r="Q3" s="77">
        <v>238.61199999999999</v>
      </c>
      <c r="R3">
        <v>1.1000000000000001</v>
      </c>
      <c r="S3" s="51">
        <f t="shared" si="3"/>
        <v>216.92</v>
      </c>
      <c r="V3" s="100">
        <v>19</v>
      </c>
    </row>
    <row r="4" spans="1:22" ht="15" thickBot="1">
      <c r="A4" s="72">
        <v>58</v>
      </c>
      <c r="B4">
        <f t="shared" si="0"/>
        <v>37.700000000000003</v>
      </c>
      <c r="D4" s="73">
        <v>16</v>
      </c>
      <c r="E4">
        <f t="shared" si="1"/>
        <v>12</v>
      </c>
      <c r="F4">
        <f t="shared" si="2"/>
        <v>12</v>
      </c>
      <c r="H4" t="s">
        <v>1056</v>
      </c>
      <c r="P4">
        <v>4</v>
      </c>
      <c r="Q4" s="62">
        <v>259.39100000000002</v>
      </c>
      <c r="R4">
        <v>1.1000000000000001</v>
      </c>
      <c r="S4" s="51">
        <f t="shared" si="3"/>
        <v>235.81</v>
      </c>
      <c r="V4" s="100">
        <v>17</v>
      </c>
    </row>
    <row r="5" spans="1:22" ht="15" thickBot="1">
      <c r="A5" s="37">
        <v>11</v>
      </c>
      <c r="B5">
        <f t="shared" si="0"/>
        <v>7.15</v>
      </c>
      <c r="D5" s="29">
        <v>25</v>
      </c>
      <c r="E5">
        <f t="shared" si="1"/>
        <v>18.75</v>
      </c>
      <c r="F5">
        <f t="shared" si="2"/>
        <v>19</v>
      </c>
      <c r="H5" t="s">
        <v>1057</v>
      </c>
      <c r="P5">
        <v>5</v>
      </c>
      <c r="Q5" s="77">
        <v>707.39949999999999</v>
      </c>
      <c r="R5">
        <v>1.1499999999999999</v>
      </c>
      <c r="S5" s="51">
        <f t="shared" si="3"/>
        <v>615.13</v>
      </c>
      <c r="V5" s="100">
        <v>33</v>
      </c>
    </row>
    <row r="6" spans="1:22" ht="29.4" thickBot="1">
      <c r="A6">
        <f>SUM(A1:A5)</f>
        <v>117</v>
      </c>
      <c r="B6">
        <f>SUM(B1:B5)</f>
        <v>76.050000000000011</v>
      </c>
      <c r="D6" s="73">
        <v>3</v>
      </c>
      <c r="E6">
        <f t="shared" si="1"/>
        <v>2.25</v>
      </c>
      <c r="F6">
        <f t="shared" si="2"/>
        <v>3</v>
      </c>
      <c r="H6" s="5" t="s">
        <v>1383</v>
      </c>
      <c r="P6">
        <v>6</v>
      </c>
      <c r="Q6" s="62">
        <v>645.37000000000012</v>
      </c>
      <c r="R6">
        <v>1.1000000000000001</v>
      </c>
      <c r="S6" s="51">
        <f t="shared" si="3"/>
        <v>586.70000000000005</v>
      </c>
      <c r="V6" s="100">
        <v>19</v>
      </c>
    </row>
    <row r="7" spans="1:22" ht="15" thickBot="1">
      <c r="D7" s="29">
        <v>3</v>
      </c>
      <c r="E7">
        <f t="shared" si="1"/>
        <v>2.25</v>
      </c>
      <c r="F7">
        <f t="shared" si="2"/>
        <v>3</v>
      </c>
      <c r="H7" t="s">
        <v>1058</v>
      </c>
      <c r="P7">
        <v>7</v>
      </c>
      <c r="Q7" s="77">
        <v>647.0474999999999</v>
      </c>
      <c r="R7" s="79">
        <v>1.1499999999999999</v>
      </c>
      <c r="S7" s="51">
        <f t="shared" si="3"/>
        <v>562.65</v>
      </c>
      <c r="V7" s="100">
        <v>4</v>
      </c>
    </row>
    <row r="8" spans="1:22" ht="15" thickBot="1">
      <c r="D8" s="73">
        <v>3</v>
      </c>
      <c r="E8">
        <f t="shared" si="1"/>
        <v>2.25</v>
      </c>
      <c r="F8">
        <f t="shared" si="2"/>
        <v>3</v>
      </c>
      <c r="P8">
        <v>8</v>
      </c>
      <c r="Q8" s="62">
        <v>519.38700000000006</v>
      </c>
      <c r="R8">
        <v>1.1000000000000001</v>
      </c>
      <c r="S8" s="51">
        <f t="shared" si="3"/>
        <v>472.17</v>
      </c>
      <c r="V8" s="100">
        <v>44</v>
      </c>
    </row>
    <row r="9" spans="1:22" ht="15" thickBot="1">
      <c r="D9" s="29">
        <v>2</v>
      </c>
      <c r="E9">
        <f t="shared" si="1"/>
        <v>1.5</v>
      </c>
      <c r="F9">
        <f t="shared" si="2"/>
        <v>2</v>
      </c>
      <c r="P9">
        <v>9</v>
      </c>
      <c r="Q9" s="77">
        <v>1683.3300000000002</v>
      </c>
      <c r="R9">
        <v>1.1000000000000001</v>
      </c>
      <c r="S9" s="51">
        <f t="shared" si="3"/>
        <v>1530.3</v>
      </c>
      <c r="V9" s="100">
        <v>1</v>
      </c>
    </row>
    <row r="10" spans="1:22" ht="15" thickBot="1">
      <c r="D10" s="73">
        <v>2</v>
      </c>
      <c r="E10">
        <f t="shared" si="1"/>
        <v>1.5</v>
      </c>
      <c r="F10">
        <f t="shared" si="2"/>
        <v>2</v>
      </c>
      <c r="P10">
        <v>10</v>
      </c>
      <c r="Q10" s="62">
        <v>15417.93</v>
      </c>
      <c r="R10">
        <v>1.1000000000000001</v>
      </c>
      <c r="S10" s="51">
        <f t="shared" si="3"/>
        <v>14016.3</v>
      </c>
      <c r="V10" s="100">
        <v>21</v>
      </c>
    </row>
    <row r="11" spans="1:22">
      <c r="D11" s="29">
        <v>2</v>
      </c>
      <c r="E11">
        <f t="shared" si="1"/>
        <v>1.5</v>
      </c>
      <c r="F11">
        <f t="shared" si="2"/>
        <v>2</v>
      </c>
      <c r="P11">
        <v>11</v>
      </c>
      <c r="Q11" s="77">
        <v>2380.9024999999997</v>
      </c>
      <c r="R11">
        <v>1.1499999999999999</v>
      </c>
      <c r="S11" s="51">
        <f t="shared" si="3"/>
        <v>2070.35</v>
      </c>
      <c r="V11">
        <f>SUM(V2:V10)</f>
        <v>161</v>
      </c>
    </row>
    <row r="12" spans="1:22">
      <c r="D12" s="73">
        <v>2</v>
      </c>
      <c r="E12">
        <f t="shared" si="1"/>
        <v>1.5</v>
      </c>
      <c r="F12">
        <f t="shared" si="2"/>
        <v>2</v>
      </c>
      <c r="P12">
        <v>12</v>
      </c>
      <c r="Q12" s="62">
        <v>51621.809499999996</v>
      </c>
      <c r="R12">
        <v>1.1499999999999999</v>
      </c>
      <c r="S12" s="51">
        <f t="shared" si="3"/>
        <v>44888.53</v>
      </c>
    </row>
    <row r="13" spans="1:22">
      <c r="D13" s="29">
        <v>2</v>
      </c>
      <c r="E13">
        <f t="shared" si="1"/>
        <v>1.5</v>
      </c>
      <c r="F13">
        <f t="shared" si="2"/>
        <v>2</v>
      </c>
      <c r="P13">
        <v>13</v>
      </c>
      <c r="Q13" s="77">
        <v>210.55349999999999</v>
      </c>
      <c r="R13">
        <v>1.1499999999999999</v>
      </c>
      <c r="S13" s="51">
        <f t="shared" si="3"/>
        <v>183.09</v>
      </c>
    </row>
    <row r="14" spans="1:22">
      <c r="D14" s="73">
        <v>2</v>
      </c>
      <c r="E14">
        <f t="shared" si="1"/>
        <v>1.5</v>
      </c>
      <c r="F14">
        <f t="shared" si="2"/>
        <v>2</v>
      </c>
      <c r="P14">
        <v>14</v>
      </c>
      <c r="Q14" s="62">
        <v>309.80999999999995</v>
      </c>
      <c r="R14">
        <v>1.1499999999999999</v>
      </c>
      <c r="S14" s="51">
        <f t="shared" si="3"/>
        <v>269.39999999999998</v>
      </c>
    </row>
    <row r="15" spans="1:22">
      <c r="D15" s="29">
        <v>40</v>
      </c>
      <c r="E15">
        <f t="shared" si="1"/>
        <v>30</v>
      </c>
      <c r="F15">
        <f t="shared" si="2"/>
        <v>30</v>
      </c>
      <c r="P15">
        <v>15</v>
      </c>
      <c r="Q15" s="77">
        <v>219.81099999999998</v>
      </c>
      <c r="R15">
        <v>1.1499999999999999</v>
      </c>
      <c r="S15" s="51">
        <f t="shared" si="3"/>
        <v>191.14</v>
      </c>
    </row>
    <row r="16" spans="1:22">
      <c r="D16" s="74">
        <v>130</v>
      </c>
      <c r="E16">
        <f t="shared" si="1"/>
        <v>97.5</v>
      </c>
      <c r="F16">
        <f t="shared" si="2"/>
        <v>98</v>
      </c>
      <c r="P16">
        <v>16</v>
      </c>
      <c r="Q16" s="62">
        <v>254.26499999999999</v>
      </c>
      <c r="R16">
        <v>1.1499999999999999</v>
      </c>
      <c r="S16" s="51">
        <f t="shared" si="3"/>
        <v>221.1</v>
      </c>
    </row>
    <row r="17" spans="4:19">
      <c r="D17" s="29">
        <v>15</v>
      </c>
      <c r="E17">
        <f t="shared" si="1"/>
        <v>11.25</v>
      </c>
      <c r="F17">
        <f t="shared" si="2"/>
        <v>12</v>
      </c>
      <c r="P17">
        <v>17</v>
      </c>
      <c r="Q17" s="77">
        <v>249.06700000000001</v>
      </c>
      <c r="R17">
        <v>1.1499999999999999</v>
      </c>
      <c r="S17" s="51">
        <f t="shared" si="3"/>
        <v>216.58</v>
      </c>
    </row>
    <row r="18" spans="4:19">
      <c r="D18" s="73">
        <v>35</v>
      </c>
      <c r="E18">
        <f t="shared" si="1"/>
        <v>26.25</v>
      </c>
      <c r="F18">
        <f t="shared" si="2"/>
        <v>27</v>
      </c>
      <c r="P18">
        <v>18</v>
      </c>
      <c r="Q18" s="62">
        <v>3125.3089999999997</v>
      </c>
      <c r="R18">
        <v>1.1499999999999999</v>
      </c>
      <c r="S18" s="51">
        <f t="shared" si="3"/>
        <v>2717.66</v>
      </c>
    </row>
    <row r="19" spans="4:19">
      <c r="D19" s="29">
        <v>1101</v>
      </c>
      <c r="E19">
        <f t="shared" si="1"/>
        <v>825.75</v>
      </c>
      <c r="F19">
        <f t="shared" si="2"/>
        <v>826</v>
      </c>
      <c r="P19">
        <v>19</v>
      </c>
      <c r="Q19" s="77">
        <v>62.042499999999997</v>
      </c>
      <c r="R19">
        <v>1.1499999999999999</v>
      </c>
      <c r="S19" s="51">
        <f t="shared" si="3"/>
        <v>53.95</v>
      </c>
    </row>
    <row r="20" spans="4:19">
      <c r="D20" s="73">
        <v>90</v>
      </c>
      <c r="E20">
        <f t="shared" si="1"/>
        <v>67.5</v>
      </c>
      <c r="F20">
        <f t="shared" si="2"/>
        <v>68</v>
      </c>
      <c r="P20">
        <v>20</v>
      </c>
      <c r="Q20" s="62">
        <v>338.2955</v>
      </c>
      <c r="R20">
        <v>1.1499999999999999</v>
      </c>
      <c r="S20" s="51">
        <f t="shared" si="3"/>
        <v>294.17</v>
      </c>
    </row>
    <row r="21" spans="4:19" ht="15" thickBot="1">
      <c r="D21" s="29">
        <v>36</v>
      </c>
      <c r="E21">
        <f t="shared" si="1"/>
        <v>27</v>
      </c>
      <c r="F21">
        <f t="shared" si="2"/>
        <v>27</v>
      </c>
      <c r="P21">
        <v>21</v>
      </c>
      <c r="Q21" s="78">
        <v>46.045999999999992</v>
      </c>
      <c r="R21">
        <v>1.1499999999999999</v>
      </c>
      <c r="S21" s="51">
        <f t="shared" si="3"/>
        <v>40.04</v>
      </c>
    </row>
    <row r="22" spans="4:19">
      <c r="D22" s="73">
        <v>60</v>
      </c>
      <c r="E22">
        <f t="shared" si="1"/>
        <v>45</v>
      </c>
      <c r="F22">
        <f t="shared" si="2"/>
        <v>45</v>
      </c>
      <c r="S22" s="51"/>
    </row>
    <row r="23" spans="4:19">
      <c r="D23" s="29">
        <v>50</v>
      </c>
      <c r="E23">
        <f t="shared" si="1"/>
        <v>37.5</v>
      </c>
      <c r="F23">
        <f t="shared" si="2"/>
        <v>38</v>
      </c>
    </row>
    <row r="24" spans="4:19">
      <c r="D24" s="73">
        <v>3</v>
      </c>
      <c r="E24">
        <f t="shared" si="1"/>
        <v>2.25</v>
      </c>
      <c r="F24">
        <f t="shared" si="2"/>
        <v>3</v>
      </c>
    </row>
    <row r="25" spans="4:19">
      <c r="D25" s="29">
        <v>15</v>
      </c>
      <c r="E25">
        <f t="shared" si="1"/>
        <v>11.25</v>
      </c>
      <c r="F25">
        <f t="shared" si="2"/>
        <v>12</v>
      </c>
    </row>
    <row r="26" spans="4:19">
      <c r="D26" s="73">
        <v>12</v>
      </c>
      <c r="E26">
        <f t="shared" si="1"/>
        <v>9</v>
      </c>
      <c r="F26">
        <f t="shared" si="2"/>
        <v>9</v>
      </c>
    </row>
    <row r="27" spans="4:19">
      <c r="D27" s="29">
        <v>65</v>
      </c>
      <c r="E27">
        <f t="shared" si="1"/>
        <v>48.75</v>
      </c>
      <c r="F27">
        <f t="shared" si="2"/>
        <v>49</v>
      </c>
    </row>
    <row r="28" spans="4:19">
      <c r="D28" s="73">
        <v>25</v>
      </c>
      <c r="E28">
        <f t="shared" si="1"/>
        <v>18.75</v>
      </c>
      <c r="F28">
        <f t="shared" si="2"/>
        <v>19</v>
      </c>
    </row>
    <row r="29" spans="4:19">
      <c r="D29" s="29">
        <v>10</v>
      </c>
      <c r="E29">
        <f t="shared" si="1"/>
        <v>7.5</v>
      </c>
      <c r="F29">
        <f t="shared" si="2"/>
        <v>8</v>
      </c>
    </row>
    <row r="30" spans="4:19">
      <c r="D30" s="73">
        <v>3</v>
      </c>
      <c r="E30">
        <f t="shared" si="1"/>
        <v>2.25</v>
      </c>
      <c r="F30">
        <f t="shared" si="2"/>
        <v>3</v>
      </c>
    </row>
    <row r="31" spans="4:19">
      <c r="D31" s="29">
        <v>3</v>
      </c>
      <c r="E31">
        <f t="shared" si="1"/>
        <v>2.25</v>
      </c>
      <c r="F31">
        <f t="shared" si="2"/>
        <v>3</v>
      </c>
    </row>
    <row r="32" spans="4:19">
      <c r="D32" s="73">
        <v>20</v>
      </c>
      <c r="E32">
        <f t="shared" si="1"/>
        <v>15</v>
      </c>
      <c r="F32">
        <f t="shared" si="2"/>
        <v>15</v>
      </c>
    </row>
    <row r="33" spans="4:6">
      <c r="D33" s="29">
        <v>3</v>
      </c>
      <c r="E33">
        <f t="shared" si="1"/>
        <v>2.25</v>
      </c>
      <c r="F33">
        <f t="shared" si="2"/>
        <v>3</v>
      </c>
    </row>
    <row r="34" spans="4:6">
      <c r="D34" s="74">
        <v>220</v>
      </c>
      <c r="E34">
        <f t="shared" si="1"/>
        <v>165</v>
      </c>
      <c r="F34">
        <f t="shared" si="2"/>
        <v>165</v>
      </c>
    </row>
    <row r="35" spans="4:6">
      <c r="D35" s="29">
        <v>5</v>
      </c>
      <c r="E35">
        <f t="shared" si="1"/>
        <v>3.75</v>
      </c>
      <c r="F35">
        <f t="shared" si="2"/>
        <v>4</v>
      </c>
    </row>
    <row r="36" spans="4:6">
      <c r="D36" s="73">
        <v>32</v>
      </c>
      <c r="E36">
        <f t="shared" si="1"/>
        <v>24</v>
      </c>
      <c r="F36">
        <f t="shared" si="2"/>
        <v>24</v>
      </c>
    </row>
    <row r="37" spans="4:6">
      <c r="D37" s="29">
        <f>290/2</f>
        <v>145</v>
      </c>
      <c r="E37">
        <f t="shared" si="1"/>
        <v>108.75</v>
      </c>
      <c r="F37">
        <f t="shared" si="2"/>
        <v>109</v>
      </c>
    </row>
    <row r="38" spans="4:6">
      <c r="D38" s="73">
        <v>4</v>
      </c>
      <c r="E38">
        <f t="shared" si="1"/>
        <v>3</v>
      </c>
      <c r="F38">
        <f t="shared" si="2"/>
        <v>3</v>
      </c>
    </row>
    <row r="39" spans="4:6">
      <c r="D39" s="29">
        <v>90</v>
      </c>
      <c r="E39">
        <f t="shared" si="1"/>
        <v>67.5</v>
      </c>
      <c r="F39">
        <f t="shared" si="2"/>
        <v>68</v>
      </c>
    </row>
    <row r="40" spans="4:6">
      <c r="D40" s="73">
        <v>200</v>
      </c>
      <c r="E40">
        <f t="shared" si="1"/>
        <v>150</v>
      </c>
      <c r="F40">
        <f t="shared" si="2"/>
        <v>150</v>
      </c>
    </row>
    <row r="41" spans="4:6">
      <c r="D41" s="29">
        <v>90</v>
      </c>
      <c r="E41">
        <f t="shared" si="1"/>
        <v>67.5</v>
      </c>
      <c r="F41">
        <f t="shared" si="2"/>
        <v>68</v>
      </c>
    </row>
    <row r="42" spans="4:6">
      <c r="D42" s="73">
        <v>5</v>
      </c>
      <c r="E42">
        <f t="shared" si="1"/>
        <v>3.75</v>
      </c>
      <c r="F42">
        <f t="shared" si="2"/>
        <v>4</v>
      </c>
    </row>
    <row r="43" spans="4:6">
      <c r="D43" s="29">
        <v>5</v>
      </c>
      <c r="E43">
        <f t="shared" si="1"/>
        <v>3.75</v>
      </c>
      <c r="F43">
        <f t="shared" si="2"/>
        <v>4</v>
      </c>
    </row>
    <row r="44" spans="4:6">
      <c r="D44" s="75">
        <v>30</v>
      </c>
      <c r="E44">
        <f t="shared" si="1"/>
        <v>22.5</v>
      </c>
      <c r="F44">
        <f t="shared" si="2"/>
        <v>23</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
  <sheetViews>
    <sheetView zoomScaleNormal="100" workbookViewId="0">
      <selection activeCell="H2" sqref="H2"/>
    </sheetView>
  </sheetViews>
  <sheetFormatPr defaultRowHeight="14.4"/>
  <cols>
    <col min="1" max="1" width="15.21875" style="5" customWidth="1"/>
    <col min="2" max="2" width="19.77734375" style="5" customWidth="1"/>
    <col min="3" max="3" width="44.21875" style="5" customWidth="1"/>
    <col min="4" max="4" width="80.21875" style="5" bestFit="1" customWidth="1"/>
    <col min="5" max="5" width="23" customWidth="1"/>
    <col min="6" max="6" width="21.21875" customWidth="1"/>
    <col min="7" max="7" width="19.21875" style="23" customWidth="1"/>
    <col min="8" max="8" width="29.44140625" style="24" customWidth="1"/>
    <col min="9" max="9" width="25.77734375" hidden="1" customWidth="1"/>
    <col min="10" max="10" width="21.44140625" hidden="1" customWidth="1"/>
    <col min="11" max="14" width="0" hidden="1" customWidth="1"/>
  </cols>
  <sheetData>
    <row r="1" spans="1:14">
      <c r="B1" s="257" t="s">
        <v>1059</v>
      </c>
      <c r="C1" s="257"/>
      <c r="D1" s="257"/>
      <c r="E1" s="257"/>
      <c r="F1" s="257"/>
      <c r="G1" s="257"/>
      <c r="H1" s="257"/>
      <c r="I1" s="258"/>
      <c r="J1" s="258"/>
      <c r="K1" s="258"/>
      <c r="L1" s="258"/>
      <c r="M1" s="258"/>
      <c r="N1" s="258"/>
    </row>
    <row r="2" spans="1:14" s="3" customFormat="1" ht="230.4">
      <c r="A2" s="9" t="s">
        <v>626</v>
      </c>
      <c r="B2" s="10" t="s">
        <v>1060</v>
      </c>
      <c r="C2" s="11" t="s">
        <v>1061</v>
      </c>
      <c r="D2" s="11" t="s">
        <v>1062</v>
      </c>
      <c r="E2" s="11" t="s">
        <v>1063</v>
      </c>
      <c r="F2" s="11" t="s">
        <v>1064</v>
      </c>
      <c r="G2" s="25" t="s">
        <v>1065</v>
      </c>
      <c r="H2" s="26" t="s">
        <v>1066</v>
      </c>
      <c r="I2" s="8" t="s">
        <v>1067</v>
      </c>
      <c r="J2" s="1" t="s">
        <v>1068</v>
      </c>
      <c r="K2" s="1" t="s">
        <v>1069</v>
      </c>
      <c r="L2" s="2" t="s">
        <v>1070</v>
      </c>
      <c r="M2" s="1" t="s">
        <v>1071</v>
      </c>
      <c r="N2" s="1" t="s">
        <v>1072</v>
      </c>
    </row>
    <row r="3" spans="1:14" ht="28.8">
      <c r="A3" s="12">
        <v>1</v>
      </c>
      <c r="B3" s="6" t="s">
        <v>1073</v>
      </c>
      <c r="C3" s="4" t="s">
        <v>129</v>
      </c>
      <c r="D3" s="4" t="s">
        <v>1074</v>
      </c>
      <c r="E3" s="7"/>
      <c r="F3" s="7"/>
      <c r="G3" s="21"/>
      <c r="H3" s="22"/>
      <c r="I3" s="3"/>
      <c r="J3" s="3"/>
      <c r="K3" s="3"/>
      <c r="L3" s="3"/>
      <c r="M3" s="3"/>
    </row>
    <row r="4" spans="1:14" ht="28.8">
      <c r="A4" s="12">
        <v>2</v>
      </c>
      <c r="B4" s="6" t="s">
        <v>1073</v>
      </c>
      <c r="C4" s="4" t="s">
        <v>132</v>
      </c>
      <c r="D4" s="4" t="s">
        <v>1075</v>
      </c>
      <c r="E4" s="7"/>
      <c r="F4" s="7"/>
      <c r="G4" s="21"/>
      <c r="H4" s="22"/>
      <c r="I4" s="3"/>
      <c r="J4" s="3"/>
      <c r="K4" s="3"/>
      <c r="L4" s="3"/>
      <c r="M4" s="3"/>
    </row>
    <row r="5" spans="1:14" ht="43.2">
      <c r="A5" s="12">
        <v>3</v>
      </c>
      <c r="B5" s="6" t="s">
        <v>1073</v>
      </c>
      <c r="C5" s="4" t="s">
        <v>135</v>
      </c>
      <c r="D5" s="4" t="s">
        <v>1384</v>
      </c>
      <c r="E5" s="7"/>
      <c r="F5" s="7"/>
      <c r="G5" s="21"/>
      <c r="H5" s="22"/>
      <c r="I5" s="3"/>
      <c r="J5" s="3"/>
      <c r="K5" s="3"/>
      <c r="L5" s="3"/>
      <c r="M5" s="3"/>
    </row>
    <row r="6" spans="1:14" ht="28.8">
      <c r="A6" s="12">
        <v>4</v>
      </c>
      <c r="B6" s="6" t="s">
        <v>1073</v>
      </c>
      <c r="C6" s="4" t="s">
        <v>138</v>
      </c>
      <c r="D6" s="4" t="s">
        <v>1076</v>
      </c>
      <c r="E6" s="7"/>
      <c r="F6" s="7"/>
      <c r="G6" s="21"/>
      <c r="H6" s="22"/>
      <c r="I6" s="3"/>
      <c r="J6" s="3"/>
      <c r="K6" s="3"/>
      <c r="L6" s="3"/>
      <c r="M6" s="3"/>
    </row>
    <row r="7" spans="1:14">
      <c r="A7" s="12">
        <v>5</v>
      </c>
      <c r="B7" s="6" t="s">
        <v>1073</v>
      </c>
      <c r="C7" s="4" t="s">
        <v>1077</v>
      </c>
      <c r="D7" s="4" t="s">
        <v>1078</v>
      </c>
      <c r="E7" s="7"/>
      <c r="F7" s="7"/>
      <c r="G7" s="21"/>
      <c r="H7" s="22"/>
      <c r="I7" s="3"/>
      <c r="J7" s="3"/>
      <c r="K7" s="3"/>
      <c r="L7" s="3"/>
      <c r="M7" s="3"/>
    </row>
    <row r="8" spans="1:14" ht="43.2">
      <c r="A8" s="12">
        <v>6</v>
      </c>
      <c r="B8" s="6" t="s">
        <v>1073</v>
      </c>
      <c r="C8" s="4" t="s">
        <v>1079</v>
      </c>
      <c r="D8" s="4" t="s">
        <v>1080</v>
      </c>
      <c r="E8" s="7"/>
      <c r="F8" s="7"/>
      <c r="G8" s="21"/>
      <c r="H8" s="22"/>
      <c r="I8" s="3"/>
      <c r="J8" s="3"/>
      <c r="K8" s="3"/>
      <c r="L8" s="3"/>
      <c r="M8" s="3"/>
    </row>
    <row r="9" spans="1:14" ht="43.2">
      <c r="A9" s="12">
        <v>7</v>
      </c>
      <c r="B9" s="6" t="s">
        <v>1073</v>
      </c>
      <c r="C9" s="4" t="s">
        <v>1081</v>
      </c>
      <c r="D9" s="4" t="s">
        <v>1082</v>
      </c>
      <c r="E9" s="7"/>
      <c r="F9" s="7"/>
      <c r="G9" s="21"/>
      <c r="H9" s="22"/>
      <c r="I9" s="3"/>
      <c r="J9" s="3"/>
      <c r="K9" s="3"/>
      <c r="L9" s="3"/>
      <c r="M9" s="3"/>
    </row>
    <row r="10" spans="1:14" ht="28.8">
      <c r="A10" s="12">
        <v>8</v>
      </c>
      <c r="B10" s="6" t="s">
        <v>1073</v>
      </c>
      <c r="C10" s="4" t="s">
        <v>1083</v>
      </c>
      <c r="D10" s="4" t="s">
        <v>1084</v>
      </c>
      <c r="E10" s="7"/>
      <c r="F10" s="7"/>
      <c r="G10" s="21"/>
      <c r="H10" s="22"/>
      <c r="I10" s="3"/>
      <c r="J10" s="3"/>
      <c r="K10" s="3"/>
      <c r="L10" s="3"/>
      <c r="M10" s="3"/>
    </row>
    <row r="11" spans="1:14" ht="28.8">
      <c r="A11" s="12">
        <v>9</v>
      </c>
      <c r="B11" s="6" t="s">
        <v>1073</v>
      </c>
      <c r="C11" s="4" t="s">
        <v>1085</v>
      </c>
      <c r="D11" s="4" t="s">
        <v>1086</v>
      </c>
      <c r="E11" s="7"/>
      <c r="F11" s="7"/>
      <c r="G11" s="21"/>
      <c r="H11" s="22"/>
      <c r="I11" s="3"/>
      <c r="J11" s="3"/>
      <c r="K11" s="3"/>
      <c r="L11" s="3"/>
      <c r="M11" s="3"/>
    </row>
    <row r="12" spans="1:14" ht="57.6">
      <c r="A12" s="12">
        <v>10</v>
      </c>
      <c r="B12" s="6" t="s">
        <v>1073</v>
      </c>
      <c r="C12" s="4" t="s">
        <v>1087</v>
      </c>
      <c r="D12" s="4" t="s">
        <v>1088</v>
      </c>
      <c r="E12" s="7"/>
      <c r="F12" s="7"/>
      <c r="G12" s="21"/>
      <c r="H12" s="22"/>
      <c r="I12" s="3"/>
      <c r="J12" s="3"/>
      <c r="K12" s="3"/>
      <c r="L12" s="3"/>
      <c r="M12" s="3"/>
    </row>
    <row r="13" spans="1:14" ht="43.2">
      <c r="A13" s="12">
        <v>11</v>
      </c>
      <c r="B13" s="6" t="s">
        <v>1073</v>
      </c>
      <c r="C13" s="4" t="s">
        <v>1089</v>
      </c>
      <c r="D13" s="4" t="s">
        <v>1090</v>
      </c>
      <c r="E13" s="7"/>
      <c r="F13" s="7"/>
      <c r="G13" s="21"/>
      <c r="H13" s="22"/>
      <c r="I13" s="3"/>
      <c r="J13" s="3"/>
      <c r="K13" s="3"/>
      <c r="L13" s="3"/>
      <c r="M13" s="3"/>
    </row>
    <row r="14" spans="1:14">
      <c r="A14" s="12">
        <v>12</v>
      </c>
      <c r="B14" s="6" t="s">
        <v>1073</v>
      </c>
      <c r="C14" s="4" t="s">
        <v>1091</v>
      </c>
      <c r="D14" s="4" t="s">
        <v>1092</v>
      </c>
      <c r="E14" s="7"/>
      <c r="F14" s="7"/>
      <c r="G14" s="21"/>
      <c r="H14" s="22"/>
      <c r="I14" s="3"/>
      <c r="J14" s="3"/>
      <c r="K14" s="3"/>
      <c r="L14" s="3"/>
      <c r="M14" s="3"/>
    </row>
    <row r="15" spans="1:14" ht="28.8">
      <c r="A15" s="12">
        <v>13</v>
      </c>
      <c r="B15" s="6" t="s">
        <v>1073</v>
      </c>
      <c r="C15" s="4" t="s">
        <v>162</v>
      </c>
      <c r="D15" s="4" t="s">
        <v>1093</v>
      </c>
      <c r="E15" s="7"/>
      <c r="F15" s="7"/>
      <c r="G15" s="21"/>
      <c r="H15" s="22"/>
      <c r="I15" s="3"/>
      <c r="J15" s="3"/>
      <c r="K15" s="3"/>
      <c r="L15" s="3"/>
      <c r="M15" s="3"/>
    </row>
    <row r="16" spans="1:14" ht="28.8">
      <c r="A16" s="12">
        <v>14</v>
      </c>
      <c r="B16" s="6" t="s">
        <v>1073</v>
      </c>
      <c r="C16" s="4" t="s">
        <v>165</v>
      </c>
      <c r="D16" s="4" t="s">
        <v>1094</v>
      </c>
      <c r="E16" s="7"/>
      <c r="F16" s="7"/>
      <c r="G16" s="21"/>
      <c r="H16" s="22"/>
      <c r="I16" s="3"/>
      <c r="J16" s="3"/>
      <c r="K16" s="3"/>
      <c r="L16" s="3"/>
      <c r="M16" s="3"/>
    </row>
    <row r="17" spans="1:13" ht="28.8">
      <c r="A17" s="12">
        <v>15</v>
      </c>
      <c r="B17" s="6" t="s">
        <v>1073</v>
      </c>
      <c r="C17" s="4" t="s">
        <v>1095</v>
      </c>
      <c r="D17" s="4" t="s">
        <v>1096</v>
      </c>
      <c r="E17" s="7"/>
      <c r="F17" s="7"/>
      <c r="G17" s="21"/>
      <c r="H17" s="22"/>
      <c r="I17" s="3"/>
      <c r="J17" s="3"/>
      <c r="K17" s="3"/>
      <c r="L17" s="3"/>
      <c r="M17" s="3"/>
    </row>
    <row r="18" spans="1:13" ht="28.8">
      <c r="A18" s="12">
        <v>16</v>
      </c>
      <c r="B18" s="6" t="s">
        <v>1097</v>
      </c>
      <c r="C18" s="4" t="s">
        <v>1098</v>
      </c>
      <c r="D18" s="4" t="s">
        <v>1099</v>
      </c>
      <c r="E18" s="14"/>
      <c r="F18" s="14"/>
      <c r="G18" s="21"/>
      <c r="H18" s="22"/>
    </row>
    <row r="19" spans="1:13" ht="28.8">
      <c r="A19" s="12">
        <v>17</v>
      </c>
      <c r="B19" s="6" t="s">
        <v>1097</v>
      </c>
      <c r="C19" s="4" t="s">
        <v>1100</v>
      </c>
      <c r="D19" s="4" t="s">
        <v>1101</v>
      </c>
      <c r="E19" s="14"/>
      <c r="F19" s="14"/>
      <c r="G19" s="21"/>
      <c r="H19" s="22"/>
    </row>
    <row r="20" spans="1:13" ht="28.8">
      <c r="A20" s="12">
        <v>18</v>
      </c>
      <c r="B20" s="6" t="s">
        <v>1097</v>
      </c>
      <c r="C20" s="4" t="s">
        <v>1102</v>
      </c>
      <c r="D20" s="4" t="s">
        <v>1103</v>
      </c>
      <c r="E20" s="14"/>
      <c r="F20" s="14"/>
      <c r="G20" s="21"/>
      <c r="H20" s="22"/>
    </row>
    <row r="21" spans="1:13" ht="28.8">
      <c r="A21" s="12">
        <v>19</v>
      </c>
      <c r="B21" s="6" t="s">
        <v>1097</v>
      </c>
      <c r="C21" s="4" t="s">
        <v>1104</v>
      </c>
      <c r="D21" s="4" t="s">
        <v>1105</v>
      </c>
      <c r="E21" s="14"/>
      <c r="F21" s="14"/>
      <c r="G21" s="21"/>
      <c r="H21" s="22"/>
    </row>
    <row r="22" spans="1:13" ht="43.2">
      <c r="A22" s="12">
        <v>20</v>
      </c>
      <c r="B22" s="6" t="s">
        <v>1097</v>
      </c>
      <c r="C22" s="4" t="s">
        <v>1106</v>
      </c>
      <c r="D22" s="4" t="s">
        <v>1107</v>
      </c>
      <c r="E22" s="14"/>
      <c r="F22" s="14"/>
      <c r="G22" s="21"/>
      <c r="H22" s="22"/>
    </row>
    <row r="23" spans="1:13" ht="28.8">
      <c r="A23" s="12">
        <v>21</v>
      </c>
      <c r="B23" s="6" t="s">
        <v>1097</v>
      </c>
      <c r="C23" s="4" t="s">
        <v>104</v>
      </c>
      <c r="D23" s="4" t="s">
        <v>962</v>
      </c>
      <c r="E23" s="14"/>
      <c r="F23" s="14"/>
      <c r="G23" s="21"/>
      <c r="H23" s="22"/>
    </row>
    <row r="24" spans="1:13" ht="28.8">
      <c r="A24" s="12">
        <v>22</v>
      </c>
      <c r="B24" s="6" t="s">
        <v>1097</v>
      </c>
      <c r="C24" s="4" t="s">
        <v>1108</v>
      </c>
      <c r="D24" s="4" t="s">
        <v>1109</v>
      </c>
      <c r="E24" s="14"/>
      <c r="F24" s="14"/>
      <c r="G24" s="21"/>
      <c r="H24" s="22"/>
    </row>
    <row r="25" spans="1:13" ht="28.8">
      <c r="A25" s="12">
        <v>23</v>
      </c>
      <c r="B25" s="6" t="s">
        <v>1097</v>
      </c>
      <c r="C25" s="4" t="s">
        <v>108</v>
      </c>
      <c r="D25" s="4" t="s">
        <v>962</v>
      </c>
      <c r="E25" s="14"/>
      <c r="F25" s="14"/>
      <c r="G25" s="21"/>
      <c r="H25" s="22"/>
    </row>
    <row r="26" spans="1:13" ht="57.6">
      <c r="A26" s="12">
        <v>24</v>
      </c>
      <c r="B26" s="6" t="s">
        <v>1097</v>
      </c>
      <c r="C26" s="4" t="s">
        <v>1385</v>
      </c>
      <c r="D26" s="4" t="s">
        <v>1386</v>
      </c>
      <c r="E26" s="14"/>
      <c r="F26" s="14"/>
      <c r="G26" s="21"/>
      <c r="H26" s="22"/>
    </row>
    <row r="27" spans="1:13" ht="86.4">
      <c r="A27" s="12">
        <v>25</v>
      </c>
      <c r="B27" s="6" t="s">
        <v>1097</v>
      </c>
      <c r="C27" s="4" t="s">
        <v>1387</v>
      </c>
      <c r="D27" s="4" t="s">
        <v>1388</v>
      </c>
      <c r="E27" s="14"/>
      <c r="F27" s="14"/>
      <c r="G27" s="21"/>
      <c r="H27" s="22"/>
    </row>
    <row r="28" spans="1:13" ht="72">
      <c r="A28" s="12">
        <v>26</v>
      </c>
      <c r="B28" s="6" t="s">
        <v>1097</v>
      </c>
      <c r="C28" s="4" t="s">
        <v>1389</v>
      </c>
      <c r="D28" s="4" t="s">
        <v>1110</v>
      </c>
      <c r="E28" s="14"/>
      <c r="F28" s="14"/>
      <c r="G28" s="21"/>
      <c r="H28" s="22"/>
    </row>
    <row r="29" spans="1:13" ht="43.2">
      <c r="A29" s="12">
        <v>27</v>
      </c>
      <c r="B29" s="6" t="s">
        <v>1097</v>
      </c>
      <c r="C29" s="4" t="s">
        <v>1390</v>
      </c>
      <c r="D29" s="4" t="s">
        <v>1391</v>
      </c>
      <c r="E29" s="14"/>
      <c r="F29" s="14"/>
      <c r="G29" s="21"/>
      <c r="H29" s="22"/>
    </row>
    <row r="30" spans="1:13" ht="28.8">
      <c r="A30" s="12">
        <v>28</v>
      </c>
      <c r="B30" s="6" t="s">
        <v>1097</v>
      </c>
      <c r="C30" s="4" t="s">
        <v>1111</v>
      </c>
      <c r="D30" s="4" t="s">
        <v>1112</v>
      </c>
      <c r="E30" s="14"/>
      <c r="F30" s="14"/>
      <c r="G30" s="21"/>
      <c r="H30" s="22"/>
    </row>
    <row r="31" spans="1:13" ht="28.8">
      <c r="A31" s="15">
        <v>29</v>
      </c>
      <c r="B31" s="4" t="s">
        <v>1097</v>
      </c>
      <c r="C31" s="4" t="s">
        <v>1392</v>
      </c>
      <c r="D31" s="4" t="s">
        <v>1113</v>
      </c>
      <c r="E31" s="14"/>
      <c r="F31" s="14"/>
      <c r="G31" s="21"/>
      <c r="H31" s="22"/>
    </row>
    <row r="32" spans="1:13">
      <c r="A32" s="15">
        <v>30</v>
      </c>
      <c r="B32" s="4" t="s">
        <v>1097</v>
      </c>
      <c r="C32" s="4" t="s">
        <v>123</v>
      </c>
      <c r="D32" s="4" t="s">
        <v>1114</v>
      </c>
      <c r="E32" s="14"/>
      <c r="F32" s="14"/>
      <c r="G32" s="21"/>
      <c r="H32" s="22"/>
    </row>
    <row r="33" spans="1:8">
      <c r="A33" s="15">
        <v>31</v>
      </c>
      <c r="B33" s="4" t="s">
        <v>1097</v>
      </c>
      <c r="C33" s="4" t="s">
        <v>126</v>
      </c>
      <c r="D33" s="4" t="s">
        <v>1115</v>
      </c>
      <c r="E33" s="14"/>
      <c r="F33" s="14"/>
      <c r="G33" s="21"/>
      <c r="H33" s="22"/>
    </row>
    <row r="34" spans="1:8" ht="28.8">
      <c r="A34" s="15">
        <v>32</v>
      </c>
      <c r="B34" s="4" t="s">
        <v>1116</v>
      </c>
      <c r="C34" s="4" t="s">
        <v>1393</v>
      </c>
      <c r="D34" s="4" t="s">
        <v>1117</v>
      </c>
      <c r="E34" s="14"/>
      <c r="F34" s="14"/>
      <c r="G34" s="21"/>
      <c r="H34" s="22"/>
    </row>
    <row r="35" spans="1:8" ht="28.8">
      <c r="A35" s="15">
        <v>34</v>
      </c>
      <c r="B35" s="4" t="s">
        <v>1116</v>
      </c>
      <c r="C35" s="4" t="s">
        <v>82</v>
      </c>
      <c r="D35" s="4" t="s">
        <v>1118</v>
      </c>
      <c r="E35" s="14"/>
      <c r="F35" s="14"/>
      <c r="G35" s="21"/>
      <c r="H35" s="22"/>
    </row>
    <row r="36" spans="1:8" ht="28.8">
      <c r="A36" s="15">
        <v>35</v>
      </c>
      <c r="B36" s="4" t="s">
        <v>1116</v>
      </c>
      <c r="C36" s="4" t="s">
        <v>1394</v>
      </c>
      <c r="D36" s="4" t="s">
        <v>1119</v>
      </c>
      <c r="E36" s="14"/>
      <c r="F36" s="14"/>
      <c r="G36" s="21"/>
      <c r="H36" s="22"/>
    </row>
    <row r="37" spans="1:8" ht="28.8">
      <c r="A37" s="15">
        <v>36</v>
      </c>
      <c r="B37" s="4" t="s">
        <v>46</v>
      </c>
      <c r="C37" s="4" t="s">
        <v>333</v>
      </c>
      <c r="D37" s="4" t="s">
        <v>1120</v>
      </c>
      <c r="E37" s="14"/>
      <c r="F37" s="14"/>
      <c r="G37" s="7">
        <v>2240</v>
      </c>
      <c r="H37" s="13">
        <v>224.24999999999997</v>
      </c>
    </row>
    <row r="38" spans="1:8">
      <c r="A38" s="15">
        <v>37</v>
      </c>
      <c r="B38" s="4" t="s">
        <v>46</v>
      </c>
      <c r="C38" s="4" t="s">
        <v>337</v>
      </c>
      <c r="D38" s="4" t="s">
        <v>1121</v>
      </c>
      <c r="E38" s="14"/>
      <c r="F38" s="14"/>
      <c r="G38" s="7">
        <v>280</v>
      </c>
      <c r="H38" s="13">
        <v>150.64999999999998</v>
      </c>
    </row>
    <row r="39" spans="1:8" ht="28.8">
      <c r="A39" s="15">
        <v>38</v>
      </c>
      <c r="B39" s="4" t="s">
        <v>46</v>
      </c>
      <c r="C39" s="4" t="s">
        <v>340</v>
      </c>
      <c r="D39" s="4" t="s">
        <v>1122</v>
      </c>
      <c r="E39" s="14"/>
      <c r="F39" s="14"/>
      <c r="G39" s="7">
        <v>400</v>
      </c>
      <c r="H39" s="13">
        <v>120.74999999999999</v>
      </c>
    </row>
    <row r="40" spans="1:8">
      <c r="A40" s="15">
        <v>39</v>
      </c>
      <c r="B40" s="4" t="s">
        <v>46</v>
      </c>
      <c r="C40" s="4" t="s">
        <v>1123</v>
      </c>
      <c r="D40" s="4" t="s">
        <v>1124</v>
      </c>
      <c r="E40" s="14"/>
      <c r="F40" s="14"/>
      <c r="G40" s="7">
        <v>200</v>
      </c>
      <c r="H40" s="13">
        <v>175.1</v>
      </c>
    </row>
    <row r="41" spans="1:8" ht="43.2">
      <c r="A41" s="15">
        <v>40</v>
      </c>
      <c r="B41" s="16" t="s">
        <v>1125</v>
      </c>
      <c r="C41" s="17" t="s">
        <v>1126</v>
      </c>
      <c r="D41" s="17" t="s">
        <v>1127</v>
      </c>
      <c r="E41" s="14"/>
      <c r="F41" s="14"/>
      <c r="G41" s="7">
        <v>1952</v>
      </c>
      <c r="H41" s="13">
        <v>106.01849999999999</v>
      </c>
    </row>
    <row r="42" spans="1:8" ht="43.2">
      <c r="A42" s="15">
        <v>41</v>
      </c>
      <c r="B42" s="16" t="s">
        <v>1125</v>
      </c>
      <c r="C42" s="17" t="s">
        <v>1128</v>
      </c>
      <c r="D42" s="17" t="s">
        <v>1127</v>
      </c>
      <c r="E42" s="14"/>
      <c r="F42" s="14"/>
      <c r="G42" s="7">
        <v>120</v>
      </c>
      <c r="H42" s="13">
        <v>157.5385</v>
      </c>
    </row>
    <row r="43" spans="1:8" ht="28.8">
      <c r="A43" s="15">
        <v>42</v>
      </c>
      <c r="B43" s="16" t="s">
        <v>1125</v>
      </c>
      <c r="C43" s="17" t="s">
        <v>1129</v>
      </c>
      <c r="D43" s="17" t="s">
        <v>1130</v>
      </c>
      <c r="E43" s="14"/>
      <c r="F43" s="14"/>
      <c r="G43" s="7">
        <v>92</v>
      </c>
      <c r="H43" s="13">
        <v>578.03599999999994</v>
      </c>
    </row>
    <row r="44" spans="1:8" ht="28.8">
      <c r="A44" s="15">
        <v>43</v>
      </c>
      <c r="B44" s="16" t="s">
        <v>1125</v>
      </c>
      <c r="C44" s="17" t="s">
        <v>1131</v>
      </c>
      <c r="D44" s="17" t="s">
        <v>1132</v>
      </c>
      <c r="E44" s="14"/>
      <c r="F44" s="14"/>
      <c r="G44" s="7">
        <v>0</v>
      </c>
      <c r="H44" s="13">
        <v>245.19149999999999</v>
      </c>
    </row>
    <row r="45" spans="1:8" ht="28.8">
      <c r="A45" s="15">
        <v>44</v>
      </c>
      <c r="B45" s="16" t="s">
        <v>1125</v>
      </c>
      <c r="C45" s="17" t="s">
        <v>1133</v>
      </c>
      <c r="D45" s="17" t="s">
        <v>1134</v>
      </c>
      <c r="E45" s="14"/>
      <c r="F45" s="14"/>
      <c r="G45" s="7">
        <v>32</v>
      </c>
      <c r="H45" s="13">
        <v>114.89649999999999</v>
      </c>
    </row>
    <row r="46" spans="1:8" ht="28.8">
      <c r="A46" s="15">
        <v>45</v>
      </c>
      <c r="B46" s="16" t="s">
        <v>1125</v>
      </c>
      <c r="C46" s="17" t="s">
        <v>1135</v>
      </c>
      <c r="D46" s="17" t="s">
        <v>1136</v>
      </c>
      <c r="E46" s="14"/>
      <c r="F46" s="14"/>
      <c r="G46" s="7">
        <v>2084</v>
      </c>
      <c r="H46" s="13">
        <v>157.5385</v>
      </c>
    </row>
    <row r="47" spans="1:8" ht="28.8">
      <c r="A47" s="15">
        <v>46</v>
      </c>
      <c r="B47" s="16" t="s">
        <v>1125</v>
      </c>
      <c r="C47" s="17" t="s">
        <v>1137</v>
      </c>
      <c r="D47" s="17" t="s">
        <v>1138</v>
      </c>
      <c r="E47" s="14"/>
      <c r="F47" s="14"/>
      <c r="G47" s="7">
        <v>20</v>
      </c>
      <c r="H47" s="13">
        <v>317.39999999999998</v>
      </c>
    </row>
    <row r="48" spans="1:8" ht="43.2">
      <c r="A48" s="15">
        <v>47</v>
      </c>
      <c r="B48" s="16" t="s">
        <v>1125</v>
      </c>
      <c r="C48" s="17" t="s">
        <v>1139</v>
      </c>
      <c r="D48" s="17" t="s">
        <v>1140</v>
      </c>
      <c r="E48" s="14"/>
      <c r="F48" s="14"/>
      <c r="G48" s="7">
        <v>4948</v>
      </c>
      <c r="H48" s="13">
        <v>144.50899999999999</v>
      </c>
    </row>
    <row r="49" spans="1:8" ht="43.2">
      <c r="A49" s="15">
        <v>48</v>
      </c>
      <c r="B49" s="16" t="s">
        <v>1125</v>
      </c>
      <c r="C49" s="17" t="s">
        <v>1141</v>
      </c>
      <c r="D49" s="17" t="s">
        <v>1142</v>
      </c>
      <c r="E49" s="14"/>
      <c r="F49" s="14"/>
      <c r="G49" s="7">
        <v>44</v>
      </c>
      <c r="H49" s="13">
        <v>272.435</v>
      </c>
    </row>
    <row r="50" spans="1:8" ht="28.8">
      <c r="A50" s="15">
        <v>49</v>
      </c>
      <c r="B50" s="16" t="s">
        <v>1125</v>
      </c>
      <c r="C50" s="17" t="s">
        <v>171</v>
      </c>
      <c r="D50" s="17" t="s">
        <v>1143</v>
      </c>
      <c r="E50" s="14"/>
      <c r="F50" s="14"/>
      <c r="G50" s="7">
        <v>0</v>
      </c>
      <c r="H50" s="13">
        <v>700.34999999999991</v>
      </c>
    </row>
    <row r="51" spans="1:8" ht="28.8">
      <c r="A51" s="15">
        <v>50</v>
      </c>
      <c r="B51" s="16" t="s">
        <v>1125</v>
      </c>
      <c r="C51" s="17" t="s">
        <v>174</v>
      </c>
      <c r="D51" s="17" t="s">
        <v>1144</v>
      </c>
      <c r="E51" s="14"/>
      <c r="F51" s="14"/>
      <c r="G51" s="7">
        <v>8</v>
      </c>
      <c r="H51" s="13">
        <v>1869.8999999999999</v>
      </c>
    </row>
    <row r="52" spans="1:8" ht="28.8">
      <c r="A52" s="15">
        <v>51</v>
      </c>
      <c r="B52" s="16" t="s">
        <v>1125</v>
      </c>
      <c r="C52" s="17" t="s">
        <v>177</v>
      </c>
      <c r="D52" s="17" t="s">
        <v>1144</v>
      </c>
      <c r="E52" s="14"/>
      <c r="F52" s="14"/>
      <c r="G52" s="7">
        <v>116</v>
      </c>
      <c r="H52" s="13">
        <v>700.34999999999991</v>
      </c>
    </row>
    <row r="53" spans="1:8" ht="57.6">
      <c r="A53" s="15">
        <v>52</v>
      </c>
      <c r="B53" s="16" t="s">
        <v>1125</v>
      </c>
      <c r="C53" s="17" t="s">
        <v>203</v>
      </c>
      <c r="D53" s="17" t="s">
        <v>1145</v>
      </c>
      <c r="E53" s="14"/>
      <c r="F53" s="14"/>
      <c r="G53" s="7">
        <v>952</v>
      </c>
      <c r="H53" s="13">
        <v>94.17349999999999</v>
      </c>
    </row>
    <row r="54" spans="1:8" ht="43.2">
      <c r="A54" s="15">
        <v>53</v>
      </c>
      <c r="B54" s="16" t="s">
        <v>1125</v>
      </c>
      <c r="C54" s="17" t="s">
        <v>1246</v>
      </c>
      <c r="D54" s="17" t="s">
        <v>1146</v>
      </c>
      <c r="E54" s="14"/>
      <c r="F54" s="14"/>
      <c r="G54" s="7">
        <v>252</v>
      </c>
      <c r="H54" s="13">
        <v>170.56799999999998</v>
      </c>
    </row>
    <row r="55" spans="1:8" ht="28.8">
      <c r="A55" s="15">
        <v>54</v>
      </c>
      <c r="B55" s="16" t="s">
        <v>1125</v>
      </c>
      <c r="C55" s="17" t="s">
        <v>207</v>
      </c>
      <c r="D55" s="17" t="s">
        <v>1147</v>
      </c>
      <c r="E55" s="14"/>
      <c r="F55" s="14"/>
      <c r="G55" s="7">
        <v>140</v>
      </c>
      <c r="H55" s="13">
        <v>47.977999999999994</v>
      </c>
    </row>
    <row r="56" spans="1:8" ht="43.2">
      <c r="A56" s="15">
        <v>55</v>
      </c>
      <c r="B56" s="16" t="s">
        <v>1125</v>
      </c>
      <c r="C56" s="17" t="s">
        <v>209</v>
      </c>
      <c r="D56" s="17" t="s">
        <v>1148</v>
      </c>
      <c r="E56" s="14"/>
      <c r="F56" s="14"/>
      <c r="G56" s="7">
        <v>360</v>
      </c>
      <c r="H56" s="13">
        <v>778.55</v>
      </c>
    </row>
    <row r="57" spans="1:8" ht="43.2">
      <c r="A57" s="15">
        <v>56</v>
      </c>
      <c r="B57" s="16" t="s">
        <v>1125</v>
      </c>
      <c r="C57" s="17" t="s">
        <v>731</v>
      </c>
      <c r="D57" s="17" t="s">
        <v>1149</v>
      </c>
      <c r="E57" s="14"/>
      <c r="F57" s="14"/>
      <c r="G57" s="7">
        <v>3080</v>
      </c>
      <c r="H57" s="13">
        <v>227.92999999999998</v>
      </c>
    </row>
    <row r="58" spans="1:8" ht="28.8">
      <c r="A58" s="15">
        <v>57</v>
      </c>
      <c r="B58" s="16" t="s">
        <v>1125</v>
      </c>
      <c r="C58" s="17" t="s">
        <v>1150</v>
      </c>
      <c r="D58" s="17" t="s">
        <v>1151</v>
      </c>
      <c r="E58" s="14"/>
      <c r="F58" s="14"/>
      <c r="G58" s="7">
        <v>12</v>
      </c>
      <c r="H58" s="13">
        <v>2199.9499999999998</v>
      </c>
    </row>
    <row r="59" spans="1:8" ht="28.8">
      <c r="A59" s="15">
        <v>58</v>
      </c>
      <c r="B59" s="16" t="s">
        <v>1125</v>
      </c>
      <c r="C59" s="17" t="s">
        <v>212</v>
      </c>
      <c r="D59" s="17" t="s">
        <v>1152</v>
      </c>
      <c r="E59" s="14"/>
      <c r="F59" s="14"/>
      <c r="G59" s="7">
        <v>24</v>
      </c>
      <c r="H59" s="13">
        <v>722.19999999999993</v>
      </c>
    </row>
    <row r="60" spans="1:8" ht="28.8">
      <c r="A60" s="15">
        <v>59</v>
      </c>
      <c r="B60" s="16" t="s">
        <v>1125</v>
      </c>
      <c r="C60" s="17" t="s">
        <v>215</v>
      </c>
      <c r="D60" s="17" t="s">
        <v>1153</v>
      </c>
      <c r="E60" s="14"/>
      <c r="F60" s="14"/>
      <c r="G60" s="7">
        <v>20</v>
      </c>
      <c r="H60" s="13">
        <v>1997.067</v>
      </c>
    </row>
    <row r="61" spans="1:8" ht="28.8">
      <c r="A61" s="15">
        <v>60</v>
      </c>
      <c r="B61" s="16" t="s">
        <v>1125</v>
      </c>
      <c r="C61" s="17" t="s">
        <v>240</v>
      </c>
      <c r="D61" s="17" t="s">
        <v>1154</v>
      </c>
      <c r="E61" s="14"/>
      <c r="F61" s="14"/>
      <c r="G61" s="7">
        <v>20</v>
      </c>
      <c r="H61" s="13">
        <v>6500</v>
      </c>
    </row>
    <row r="62" spans="1:8" ht="28.8">
      <c r="A62" s="15">
        <v>61</v>
      </c>
      <c r="B62" s="16" t="s">
        <v>1125</v>
      </c>
      <c r="C62" s="17" t="s">
        <v>745</v>
      </c>
      <c r="D62" s="17" t="s">
        <v>745</v>
      </c>
      <c r="E62" s="14"/>
      <c r="F62" s="14"/>
      <c r="G62" s="7">
        <v>0</v>
      </c>
      <c r="H62" s="13">
        <v>4024.9999999999995</v>
      </c>
    </row>
    <row r="63" spans="1:8" ht="28.8">
      <c r="A63" s="15">
        <v>62</v>
      </c>
      <c r="B63" s="16" t="s">
        <v>1125</v>
      </c>
      <c r="C63" s="17" t="s">
        <v>248</v>
      </c>
      <c r="D63" s="17" t="s">
        <v>1155</v>
      </c>
      <c r="E63" s="14"/>
      <c r="F63" s="14"/>
      <c r="G63" s="7">
        <v>0</v>
      </c>
      <c r="H63" s="13">
        <v>9200</v>
      </c>
    </row>
    <row r="64" spans="1:8" ht="28.8">
      <c r="A64" s="15">
        <v>63</v>
      </c>
      <c r="B64" s="16" t="s">
        <v>1125</v>
      </c>
      <c r="C64" s="17" t="s">
        <v>252</v>
      </c>
      <c r="D64" s="17" t="s">
        <v>1156</v>
      </c>
      <c r="E64" s="14"/>
      <c r="F64" s="14"/>
      <c r="G64" s="7">
        <v>80</v>
      </c>
      <c r="H64" s="13">
        <v>473.79999999999995</v>
      </c>
    </row>
    <row r="65" spans="1:8" ht="43.2">
      <c r="A65" s="15">
        <v>64</v>
      </c>
      <c r="B65" s="16" t="s">
        <v>1125</v>
      </c>
      <c r="C65" s="17" t="s">
        <v>1157</v>
      </c>
      <c r="D65" s="17" t="s">
        <v>1395</v>
      </c>
      <c r="E65" s="14"/>
      <c r="F65" s="14"/>
      <c r="G65" s="7">
        <v>400</v>
      </c>
      <c r="H65" s="13">
        <v>1118.9499999999998</v>
      </c>
    </row>
    <row r="66" spans="1:8" ht="43.2">
      <c r="A66" s="15">
        <v>65</v>
      </c>
      <c r="B66" s="16" t="s">
        <v>1125</v>
      </c>
      <c r="C66" s="17" t="s">
        <v>1158</v>
      </c>
      <c r="D66" s="17" t="s">
        <v>1159</v>
      </c>
      <c r="E66" s="14"/>
      <c r="F66" s="14"/>
      <c r="G66" s="7">
        <v>80</v>
      </c>
      <c r="H66" s="13">
        <v>1728.4499999999998</v>
      </c>
    </row>
    <row r="67" spans="1:8" ht="28.8">
      <c r="A67" s="15">
        <v>66</v>
      </c>
      <c r="B67" s="16" t="s">
        <v>1125</v>
      </c>
      <c r="C67" s="17" t="s">
        <v>1396</v>
      </c>
      <c r="D67" s="17" t="s">
        <v>1160</v>
      </c>
      <c r="E67" s="14"/>
      <c r="F67" s="14"/>
      <c r="G67" s="7">
        <v>40</v>
      </c>
      <c r="H67" s="13">
        <v>207.28749999999999</v>
      </c>
    </row>
    <row r="68" spans="1:8" ht="28.8">
      <c r="A68" s="15">
        <v>67</v>
      </c>
      <c r="B68" s="16" t="s">
        <v>1125</v>
      </c>
      <c r="C68" s="17" t="s">
        <v>220</v>
      </c>
      <c r="D68" s="17" t="s">
        <v>1160</v>
      </c>
      <c r="E68" s="14"/>
      <c r="F68" s="14"/>
      <c r="G68" s="7">
        <v>120</v>
      </c>
      <c r="H68" s="13">
        <v>92.98899999999999</v>
      </c>
    </row>
    <row r="69" spans="1:8" ht="43.2">
      <c r="A69" s="15">
        <v>68</v>
      </c>
      <c r="B69" s="16" t="s">
        <v>1125</v>
      </c>
      <c r="C69" s="17" t="s">
        <v>223</v>
      </c>
      <c r="D69" s="17" t="s">
        <v>1140</v>
      </c>
      <c r="E69" s="14"/>
      <c r="F69" s="14"/>
      <c r="G69" s="7">
        <v>480</v>
      </c>
      <c r="H69" s="13">
        <v>207.28749999999999</v>
      </c>
    </row>
    <row r="70" spans="1:8" ht="43.2">
      <c r="A70" s="15">
        <v>69</v>
      </c>
      <c r="B70" s="17" t="s">
        <v>1161</v>
      </c>
      <c r="C70" s="17" t="s">
        <v>268</v>
      </c>
      <c r="D70" s="17" t="s">
        <v>1162</v>
      </c>
      <c r="E70" s="14"/>
      <c r="F70" s="14"/>
      <c r="G70" s="7">
        <v>1196</v>
      </c>
      <c r="H70" s="13">
        <v>440128</v>
      </c>
    </row>
    <row r="71" spans="1:8" ht="43.2">
      <c r="A71" s="15">
        <v>70</v>
      </c>
      <c r="B71" s="17" t="s">
        <v>1161</v>
      </c>
      <c r="C71" s="17" t="s">
        <v>272</v>
      </c>
      <c r="D71" s="17" t="s">
        <v>1163</v>
      </c>
      <c r="E71" s="14"/>
      <c r="F71" s="14"/>
      <c r="G71" s="7">
        <v>1344</v>
      </c>
      <c r="H71" s="13">
        <v>967680</v>
      </c>
    </row>
    <row r="72" spans="1:8" ht="43.2">
      <c r="A72" s="15">
        <v>71</v>
      </c>
      <c r="B72" s="17" t="s">
        <v>1161</v>
      </c>
      <c r="C72" s="17" t="s">
        <v>276</v>
      </c>
      <c r="D72" s="17" t="s">
        <v>1164</v>
      </c>
      <c r="E72" s="14"/>
      <c r="F72" s="14"/>
      <c r="G72" s="7">
        <v>320</v>
      </c>
      <c r="H72" s="13">
        <v>132664</v>
      </c>
    </row>
    <row r="73" spans="1:8" ht="86.4">
      <c r="A73" s="15">
        <v>72</v>
      </c>
      <c r="B73" s="17" t="s">
        <v>1161</v>
      </c>
      <c r="C73" s="17" t="s">
        <v>279</v>
      </c>
      <c r="D73" s="17" t="s">
        <v>1397</v>
      </c>
      <c r="E73" s="14"/>
      <c r="F73" s="14"/>
      <c r="G73" s="7">
        <v>88</v>
      </c>
      <c r="H73" s="13">
        <v>35824.799999999996</v>
      </c>
    </row>
    <row r="74" spans="1:8" ht="43.2">
      <c r="A74" s="15">
        <v>73</v>
      </c>
      <c r="B74" s="17" t="s">
        <v>1161</v>
      </c>
      <c r="C74" s="17" t="s">
        <v>282</v>
      </c>
      <c r="D74" s="17" t="s">
        <v>1165</v>
      </c>
      <c r="E74" s="14"/>
      <c r="F74" s="14"/>
      <c r="G74" s="7">
        <v>388</v>
      </c>
      <c r="H74" s="13">
        <v>246338.09600000002</v>
      </c>
    </row>
    <row r="75" spans="1:8" ht="28.8">
      <c r="A75" s="15">
        <v>74</v>
      </c>
      <c r="B75" s="17" t="s">
        <v>1161</v>
      </c>
      <c r="C75" s="17" t="s">
        <v>285</v>
      </c>
      <c r="D75" s="17" t="s">
        <v>1166</v>
      </c>
      <c r="E75" s="14"/>
      <c r="F75" s="14"/>
      <c r="G75" s="7">
        <v>200</v>
      </c>
      <c r="H75" s="13">
        <v>54740</v>
      </c>
    </row>
    <row r="76" spans="1:8" ht="28.8">
      <c r="A76" s="15">
        <v>75</v>
      </c>
      <c r="B76" s="17" t="s">
        <v>1161</v>
      </c>
      <c r="C76" s="17" t="s">
        <v>288</v>
      </c>
      <c r="D76" s="17" t="s">
        <v>1167</v>
      </c>
      <c r="E76" s="14"/>
      <c r="F76" s="14"/>
      <c r="G76" s="7">
        <v>2132</v>
      </c>
      <c r="H76" s="13">
        <v>1613284.4</v>
      </c>
    </row>
    <row r="77" spans="1:8" ht="43.2">
      <c r="A77" s="15">
        <v>76</v>
      </c>
      <c r="B77" s="17" t="s">
        <v>1161</v>
      </c>
      <c r="C77" s="17" t="s">
        <v>291</v>
      </c>
      <c r="D77" s="17" t="s">
        <v>1168</v>
      </c>
      <c r="E77" s="14"/>
      <c r="F77" s="14"/>
      <c r="G77" s="7">
        <v>80</v>
      </c>
      <c r="H77" s="13">
        <v>64584</v>
      </c>
    </row>
    <row r="78" spans="1:8" ht="43.2">
      <c r="A78" s="15">
        <v>77</v>
      </c>
      <c r="B78" s="17" t="s">
        <v>1161</v>
      </c>
      <c r="C78" s="17" t="s">
        <v>295</v>
      </c>
      <c r="D78" s="17" t="s">
        <v>1168</v>
      </c>
      <c r="E78" s="14"/>
      <c r="F78" s="14"/>
      <c r="G78" s="7">
        <v>1236</v>
      </c>
      <c r="H78" s="13">
        <v>997822.79999999993</v>
      </c>
    </row>
    <row r="79" spans="1:8" ht="57.6">
      <c r="A79" s="15">
        <v>78</v>
      </c>
      <c r="B79" s="17" t="s">
        <v>1161</v>
      </c>
      <c r="C79" s="17" t="s">
        <v>298</v>
      </c>
      <c r="D79" s="17" t="s">
        <v>1169</v>
      </c>
      <c r="E79" s="14"/>
      <c r="F79" s="14"/>
      <c r="G79" s="7">
        <v>1028</v>
      </c>
      <c r="H79" s="13">
        <v>531990</v>
      </c>
    </row>
    <row r="80" spans="1:8" ht="43.2">
      <c r="A80" s="15">
        <v>79</v>
      </c>
      <c r="B80" s="17" t="s">
        <v>1161</v>
      </c>
      <c r="C80" s="17" t="s">
        <v>302</v>
      </c>
      <c r="D80" s="17" t="s">
        <v>1170</v>
      </c>
      <c r="E80" s="14"/>
      <c r="F80" s="14"/>
      <c r="G80" s="7">
        <v>320</v>
      </c>
      <c r="H80" s="13">
        <v>246559.99999999997</v>
      </c>
    </row>
    <row r="81" spans="1:8" ht="43.2">
      <c r="A81" s="15">
        <v>80</v>
      </c>
      <c r="B81" s="17" t="s">
        <v>1161</v>
      </c>
      <c r="C81" s="17" t="s">
        <v>1171</v>
      </c>
      <c r="D81" s="17" t="s">
        <v>1398</v>
      </c>
      <c r="E81" s="14"/>
      <c r="F81" s="14"/>
      <c r="G81" s="7">
        <v>40</v>
      </c>
      <c r="H81" s="13">
        <v>57822</v>
      </c>
    </row>
    <row r="82" spans="1:8" ht="28.8">
      <c r="A82" s="15">
        <v>81</v>
      </c>
      <c r="B82" s="17" t="s">
        <v>1161</v>
      </c>
      <c r="C82" s="17" t="s">
        <v>307</v>
      </c>
      <c r="D82" s="17" t="s">
        <v>1172</v>
      </c>
      <c r="E82" s="14"/>
      <c r="F82" s="14"/>
      <c r="G82" s="7">
        <v>9640</v>
      </c>
      <c r="H82" s="13">
        <v>166290</v>
      </c>
    </row>
    <row r="83" spans="1:8" ht="28.8">
      <c r="A83" s="15">
        <v>82</v>
      </c>
      <c r="B83" s="17" t="s">
        <v>1161</v>
      </c>
      <c r="C83" s="17" t="s">
        <v>311</v>
      </c>
      <c r="D83" s="17" t="s">
        <v>1173</v>
      </c>
      <c r="E83" s="14"/>
      <c r="F83" s="14"/>
      <c r="G83" s="7">
        <v>76</v>
      </c>
      <c r="H83" s="13">
        <v>146555.81599999999</v>
      </c>
    </row>
    <row r="84" spans="1:8" ht="28.8">
      <c r="A84" s="15">
        <v>83</v>
      </c>
      <c r="B84" s="17" t="s">
        <v>1161</v>
      </c>
      <c r="C84" s="17" t="s">
        <v>315</v>
      </c>
      <c r="D84" s="17" t="s">
        <v>1174</v>
      </c>
      <c r="E84" s="14"/>
      <c r="F84" s="14"/>
      <c r="G84" s="7">
        <v>320</v>
      </c>
      <c r="H84" s="13">
        <v>0</v>
      </c>
    </row>
    <row r="85" spans="1:8" ht="28.8">
      <c r="A85" s="15">
        <v>84</v>
      </c>
      <c r="B85" s="17" t="s">
        <v>1161</v>
      </c>
      <c r="C85" s="17" t="s">
        <v>319</v>
      </c>
      <c r="D85" s="17" t="s">
        <v>320</v>
      </c>
      <c r="E85" s="14"/>
      <c r="F85" s="14"/>
      <c r="G85" s="7">
        <v>1688</v>
      </c>
      <c r="H85" s="13">
        <v>203825.99999999997</v>
      </c>
    </row>
    <row r="86" spans="1:8" ht="28.8">
      <c r="A86" s="15">
        <v>85</v>
      </c>
      <c r="B86" s="17" t="s">
        <v>1161</v>
      </c>
      <c r="C86" s="17" t="s">
        <v>323</v>
      </c>
      <c r="D86" s="17" t="s">
        <v>323</v>
      </c>
      <c r="E86" s="14"/>
      <c r="F86" s="14"/>
      <c r="G86" s="7">
        <v>80</v>
      </c>
      <c r="H86" s="13">
        <v>4000</v>
      </c>
    </row>
    <row r="87" spans="1:8" ht="28.8">
      <c r="A87" s="15">
        <v>86</v>
      </c>
      <c r="B87" s="17" t="s">
        <v>1161</v>
      </c>
      <c r="C87" s="17" t="s">
        <v>326</v>
      </c>
      <c r="D87" s="17" t="s">
        <v>326</v>
      </c>
      <c r="E87" s="14"/>
      <c r="F87" s="14"/>
      <c r="G87" s="7">
        <v>80</v>
      </c>
      <c r="H87" s="13">
        <v>12143.999999999998</v>
      </c>
    </row>
    <row r="88" spans="1:8" ht="28.8">
      <c r="A88" s="18">
        <v>87</v>
      </c>
      <c r="B88" s="19" t="s">
        <v>1161</v>
      </c>
      <c r="C88" s="19" t="s">
        <v>708</v>
      </c>
      <c r="D88" s="19" t="s">
        <v>1175</v>
      </c>
      <c r="E88" s="20"/>
      <c r="F88" s="20"/>
      <c r="G88" s="27">
        <v>280</v>
      </c>
      <c r="H88" s="28">
        <v>84000</v>
      </c>
    </row>
  </sheetData>
  <mergeCells count="1">
    <mergeCell ref="B1:N1"/>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D7A4F-B00F-44EF-99A4-A5BA6ED74077}">
  <dimension ref="A1:J30"/>
  <sheetViews>
    <sheetView zoomScale="70" zoomScaleNormal="70" workbookViewId="0">
      <pane xSplit="3" ySplit="3" topLeftCell="D4" activePane="bottomRight" state="frozen"/>
      <selection pane="topRight" activeCell="D1" sqref="D1"/>
      <selection pane="bottomLeft" activeCell="A2" sqref="A2"/>
      <selection pane="bottomRight"/>
    </sheetView>
  </sheetViews>
  <sheetFormatPr defaultColWidth="8.77734375" defaultRowHeight="13.8"/>
  <cols>
    <col min="1" max="1" width="21.77734375" style="195" customWidth="1"/>
    <col min="2" max="2" width="72.21875" style="196" customWidth="1"/>
    <col min="3" max="3" width="11.21875" style="256" customWidth="1"/>
    <col min="4" max="4" width="8.77734375" style="173"/>
    <col min="5" max="5" width="12.5546875" style="173" customWidth="1"/>
    <col min="6" max="6" width="12.21875" style="173" customWidth="1"/>
    <col min="7" max="8" width="16.21875" style="173" customWidth="1"/>
    <col min="9" max="9" width="32" style="173" customWidth="1"/>
    <col min="10" max="10" width="24" style="173" customWidth="1"/>
    <col min="11" max="16384" width="8.77734375" style="173"/>
  </cols>
  <sheetData>
    <row r="1" spans="1:10" ht="39" customHeight="1">
      <c r="A1" s="245" t="s">
        <v>1181</v>
      </c>
      <c r="B1" s="246"/>
    </row>
    <row r="2" spans="1:10" ht="12" customHeight="1"/>
    <row r="3" spans="1:10" ht="46.2">
      <c r="A3" s="170" t="s">
        <v>0</v>
      </c>
      <c r="B3" s="170" t="s">
        <v>1</v>
      </c>
      <c r="C3" s="170" t="s">
        <v>2</v>
      </c>
      <c r="D3" s="171" t="s">
        <v>3</v>
      </c>
      <c r="E3" s="171" t="s">
        <v>4</v>
      </c>
      <c r="F3" s="172" t="s">
        <v>5</v>
      </c>
      <c r="G3" s="172" t="s">
        <v>6</v>
      </c>
      <c r="H3" s="171" t="s">
        <v>7</v>
      </c>
      <c r="I3" s="171" t="s">
        <v>8</v>
      </c>
      <c r="J3" s="171" t="s">
        <v>9</v>
      </c>
    </row>
    <row r="4" spans="1:10">
      <c r="A4" s="174" t="s">
        <v>10</v>
      </c>
      <c r="B4" s="174" t="s">
        <v>10</v>
      </c>
      <c r="C4" s="247" t="s">
        <v>11</v>
      </c>
      <c r="D4" s="175"/>
      <c r="E4" s="175"/>
      <c r="F4" s="175"/>
      <c r="G4" s="175"/>
      <c r="H4" s="175"/>
      <c r="I4" s="175"/>
      <c r="J4" s="175"/>
    </row>
    <row r="5" spans="1:10">
      <c r="A5" s="176" t="s">
        <v>12</v>
      </c>
      <c r="B5" s="177" t="s">
        <v>13</v>
      </c>
      <c r="C5" s="248" t="s">
        <v>14</v>
      </c>
      <c r="D5" s="178"/>
      <c r="E5" s="178"/>
      <c r="F5" s="178"/>
      <c r="G5" s="178"/>
      <c r="H5" s="178"/>
      <c r="I5" s="178"/>
      <c r="J5" s="178"/>
    </row>
    <row r="6" spans="1:10">
      <c r="A6" s="177" t="s">
        <v>12</v>
      </c>
      <c r="B6" s="177" t="s">
        <v>15</v>
      </c>
      <c r="C6" s="248" t="s">
        <v>16</v>
      </c>
      <c r="D6" s="178"/>
      <c r="E6" s="178"/>
      <c r="F6" s="178"/>
      <c r="G6" s="178"/>
      <c r="H6" s="178"/>
      <c r="I6" s="178"/>
      <c r="J6" s="178"/>
    </row>
    <row r="7" spans="1:10">
      <c r="A7" s="177" t="s">
        <v>12</v>
      </c>
      <c r="B7" s="177" t="s">
        <v>17</v>
      </c>
      <c r="C7" s="248" t="s">
        <v>18</v>
      </c>
      <c r="D7" s="178"/>
      <c r="E7" s="178"/>
      <c r="F7" s="178"/>
      <c r="G7" s="178"/>
      <c r="H7" s="178"/>
      <c r="I7" s="178"/>
      <c r="J7" s="178"/>
    </row>
    <row r="8" spans="1:10">
      <c r="A8" s="177" t="s">
        <v>12</v>
      </c>
      <c r="B8" s="177" t="s">
        <v>19</v>
      </c>
      <c r="C8" s="248" t="s">
        <v>20</v>
      </c>
      <c r="D8" s="178"/>
      <c r="E8" s="178"/>
      <c r="F8" s="178"/>
      <c r="G8" s="178"/>
      <c r="H8" s="178"/>
      <c r="I8" s="178"/>
      <c r="J8" s="178"/>
    </row>
    <row r="9" spans="1:10">
      <c r="A9" s="177" t="s">
        <v>12</v>
      </c>
      <c r="B9" s="177" t="s">
        <v>21</v>
      </c>
      <c r="C9" s="248" t="s">
        <v>22</v>
      </c>
      <c r="D9" s="178"/>
      <c r="E9" s="178"/>
      <c r="F9" s="178"/>
      <c r="G9" s="178"/>
      <c r="H9" s="178"/>
      <c r="I9" s="178"/>
      <c r="J9" s="178"/>
    </row>
    <row r="10" spans="1:10">
      <c r="A10" s="179" t="s">
        <v>23</v>
      </c>
      <c r="B10" s="179" t="s">
        <v>24</v>
      </c>
      <c r="C10" s="249" t="s">
        <v>25</v>
      </c>
      <c r="D10" s="180"/>
      <c r="E10" s="180"/>
      <c r="F10" s="180"/>
      <c r="G10" s="180"/>
      <c r="H10" s="180"/>
      <c r="I10" s="180"/>
      <c r="J10" s="180"/>
    </row>
    <row r="11" spans="1:10">
      <c r="A11" s="179" t="s">
        <v>23</v>
      </c>
      <c r="B11" s="179" t="s">
        <v>26</v>
      </c>
      <c r="C11" s="249" t="s">
        <v>27</v>
      </c>
      <c r="D11" s="180"/>
      <c r="E11" s="180"/>
      <c r="F11" s="180"/>
      <c r="G11" s="180"/>
      <c r="H11" s="180"/>
      <c r="I11" s="180"/>
      <c r="J11" s="180"/>
    </row>
    <row r="12" spans="1:10">
      <c r="A12" s="179" t="s">
        <v>23</v>
      </c>
      <c r="B12" s="179" t="s">
        <v>28</v>
      </c>
      <c r="C12" s="249" t="s">
        <v>29</v>
      </c>
      <c r="D12" s="180"/>
      <c r="E12" s="180"/>
      <c r="F12" s="180"/>
      <c r="G12" s="180"/>
      <c r="H12" s="180"/>
      <c r="I12" s="180"/>
      <c r="J12" s="180"/>
    </row>
    <row r="13" spans="1:10">
      <c r="A13" s="179" t="s">
        <v>23</v>
      </c>
      <c r="B13" s="179" t="s">
        <v>30</v>
      </c>
      <c r="C13" s="249" t="s">
        <v>31</v>
      </c>
      <c r="D13" s="180"/>
      <c r="E13" s="180"/>
      <c r="F13" s="180"/>
      <c r="G13" s="180"/>
      <c r="H13" s="180"/>
      <c r="I13" s="180"/>
      <c r="J13" s="180"/>
    </row>
    <row r="14" spans="1:10">
      <c r="A14" s="181" t="s">
        <v>32</v>
      </c>
      <c r="B14" s="181" t="s">
        <v>33</v>
      </c>
      <c r="C14" s="250" t="s">
        <v>34</v>
      </c>
      <c r="D14" s="182"/>
      <c r="E14" s="182"/>
      <c r="F14" s="182"/>
      <c r="G14" s="182"/>
      <c r="H14" s="182"/>
      <c r="I14" s="182"/>
      <c r="J14" s="182"/>
    </row>
    <row r="15" spans="1:10">
      <c r="A15" s="181" t="s">
        <v>32</v>
      </c>
      <c r="B15" s="181" t="s">
        <v>35</v>
      </c>
      <c r="C15" s="250" t="s">
        <v>36</v>
      </c>
      <c r="D15" s="182"/>
      <c r="E15" s="182"/>
      <c r="F15" s="182"/>
      <c r="G15" s="182"/>
      <c r="H15" s="182"/>
      <c r="I15" s="182"/>
      <c r="J15" s="182"/>
    </row>
    <row r="16" spans="1:10">
      <c r="A16" s="181" t="s">
        <v>32</v>
      </c>
      <c r="B16" s="181" t="s">
        <v>37</v>
      </c>
      <c r="C16" s="250" t="s">
        <v>38</v>
      </c>
      <c r="D16" s="182"/>
      <c r="E16" s="182"/>
      <c r="F16" s="182"/>
      <c r="G16" s="182"/>
      <c r="H16" s="182"/>
      <c r="I16" s="182"/>
      <c r="J16" s="182"/>
    </row>
    <row r="17" spans="1:10">
      <c r="A17" s="181" t="s">
        <v>32</v>
      </c>
      <c r="B17" s="181" t="s">
        <v>39</v>
      </c>
      <c r="C17" s="250" t="s">
        <v>40</v>
      </c>
      <c r="D17" s="182"/>
      <c r="E17" s="182"/>
      <c r="F17" s="182"/>
      <c r="G17" s="182"/>
      <c r="H17" s="182"/>
      <c r="I17" s="182"/>
      <c r="J17" s="182"/>
    </row>
    <row r="18" spans="1:10">
      <c r="A18" s="181" t="s">
        <v>32</v>
      </c>
      <c r="B18" s="181" t="s">
        <v>41</v>
      </c>
      <c r="C18" s="250" t="s">
        <v>42</v>
      </c>
      <c r="D18" s="182"/>
      <c r="E18" s="182"/>
      <c r="F18" s="182"/>
      <c r="G18" s="182"/>
      <c r="H18" s="182"/>
      <c r="I18" s="182"/>
      <c r="J18" s="182"/>
    </row>
    <row r="19" spans="1:10">
      <c r="A19" s="183" t="s">
        <v>43</v>
      </c>
      <c r="B19" s="183" t="s">
        <v>44</v>
      </c>
      <c r="C19" s="251" t="s">
        <v>45</v>
      </c>
      <c r="D19" s="184"/>
      <c r="E19" s="184"/>
      <c r="F19" s="184"/>
      <c r="G19" s="184"/>
      <c r="H19" s="184"/>
      <c r="I19" s="184"/>
      <c r="J19" s="184"/>
    </row>
    <row r="20" spans="1:10">
      <c r="A20" s="185" t="s">
        <v>46</v>
      </c>
      <c r="B20" s="185" t="s">
        <v>47</v>
      </c>
      <c r="C20" s="252" t="s">
        <v>48</v>
      </c>
      <c r="D20" s="186"/>
      <c r="E20" s="186"/>
      <c r="F20" s="186"/>
      <c r="G20" s="186"/>
      <c r="H20" s="186"/>
      <c r="I20" s="186"/>
      <c r="J20" s="186"/>
    </row>
    <row r="21" spans="1:10">
      <c r="A21" s="187" t="s">
        <v>49</v>
      </c>
      <c r="B21" s="188" t="s">
        <v>50</v>
      </c>
      <c r="C21" s="253" t="s">
        <v>51</v>
      </c>
      <c r="D21" s="189"/>
      <c r="E21" s="189"/>
      <c r="F21" s="189"/>
      <c r="G21" s="189"/>
      <c r="H21" s="189"/>
      <c r="I21" s="189"/>
      <c r="J21" s="189"/>
    </row>
    <row r="22" spans="1:10">
      <c r="A22" s="187" t="s">
        <v>49</v>
      </c>
      <c r="B22" s="188" t="s">
        <v>52</v>
      </c>
      <c r="C22" s="253" t="s">
        <v>53</v>
      </c>
      <c r="D22" s="189"/>
      <c r="E22" s="189"/>
      <c r="F22" s="189"/>
      <c r="G22" s="189"/>
      <c r="H22" s="189"/>
      <c r="I22" s="189"/>
      <c r="J22" s="189"/>
    </row>
    <row r="23" spans="1:10">
      <c r="A23" s="187" t="s">
        <v>49</v>
      </c>
      <c r="B23" s="188" t="s">
        <v>54</v>
      </c>
      <c r="C23" s="253" t="s">
        <v>55</v>
      </c>
      <c r="D23" s="189"/>
      <c r="E23" s="189"/>
      <c r="F23" s="189"/>
      <c r="G23" s="189"/>
      <c r="H23" s="189"/>
      <c r="I23" s="189"/>
      <c r="J23" s="189"/>
    </row>
    <row r="24" spans="1:10" ht="27.6">
      <c r="A24" s="187" t="s">
        <v>49</v>
      </c>
      <c r="B24" s="188" t="s">
        <v>56</v>
      </c>
      <c r="C24" s="253" t="s">
        <v>57</v>
      </c>
      <c r="D24" s="189"/>
      <c r="E24" s="189"/>
      <c r="F24" s="189"/>
      <c r="G24" s="189"/>
      <c r="H24" s="189"/>
      <c r="I24" s="189"/>
      <c r="J24" s="189"/>
    </row>
    <row r="25" spans="1:10">
      <c r="A25" s="187" t="s">
        <v>49</v>
      </c>
      <c r="B25" s="188" t="s">
        <v>58</v>
      </c>
      <c r="C25" s="253" t="s">
        <v>59</v>
      </c>
      <c r="D25" s="189"/>
      <c r="E25" s="189"/>
      <c r="F25" s="189"/>
      <c r="G25" s="189"/>
      <c r="H25" s="189"/>
      <c r="I25" s="189"/>
      <c r="J25" s="189"/>
    </row>
    <row r="26" spans="1:10">
      <c r="A26" s="187" t="s">
        <v>49</v>
      </c>
      <c r="B26" s="188" t="s">
        <v>41</v>
      </c>
      <c r="C26" s="253" t="s">
        <v>60</v>
      </c>
      <c r="D26" s="189"/>
      <c r="E26" s="189"/>
      <c r="F26" s="189"/>
      <c r="G26" s="189"/>
      <c r="H26" s="189"/>
      <c r="I26" s="189"/>
      <c r="J26" s="189"/>
    </row>
    <row r="27" spans="1:10">
      <c r="A27" s="187" t="s">
        <v>49</v>
      </c>
      <c r="B27" s="188" t="s">
        <v>61</v>
      </c>
      <c r="C27" s="253" t="s">
        <v>62</v>
      </c>
      <c r="D27" s="189"/>
      <c r="E27" s="189"/>
      <c r="F27" s="189"/>
      <c r="G27" s="189"/>
      <c r="H27" s="189"/>
      <c r="I27" s="189"/>
      <c r="J27" s="189"/>
    </row>
    <row r="28" spans="1:10">
      <c r="A28" s="190" t="s">
        <v>63</v>
      </c>
      <c r="B28" s="191" t="s">
        <v>64</v>
      </c>
      <c r="C28" s="254" t="s">
        <v>65</v>
      </c>
      <c r="D28" s="192"/>
      <c r="E28" s="192"/>
      <c r="F28" s="192"/>
      <c r="G28" s="192"/>
      <c r="H28" s="192"/>
      <c r="I28" s="192"/>
      <c r="J28" s="192"/>
    </row>
    <row r="29" spans="1:10">
      <c r="A29" s="193" t="s">
        <v>66</v>
      </c>
      <c r="B29" s="193" t="s">
        <v>67</v>
      </c>
      <c r="C29" s="255" t="s">
        <v>68</v>
      </c>
      <c r="D29" s="194"/>
      <c r="E29" s="194"/>
      <c r="F29" s="194"/>
      <c r="G29" s="194"/>
      <c r="H29" s="194"/>
      <c r="I29" s="194"/>
      <c r="J29" s="194"/>
    </row>
    <row r="30" spans="1:10">
      <c r="A30" s="193" t="s">
        <v>66</v>
      </c>
      <c r="B30" s="193" t="s">
        <v>69</v>
      </c>
      <c r="C30" s="255" t="s">
        <v>70</v>
      </c>
      <c r="D30" s="194"/>
      <c r="E30" s="194"/>
      <c r="F30" s="194"/>
      <c r="G30" s="194"/>
      <c r="H30" s="194"/>
      <c r="I30" s="194"/>
      <c r="J30" s="19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9574DA9-57A7-4FC5-861A-BB11A79A2AC8}">
          <x14:formula1>
            <xm:f>'C1_Convalida dati'!$D$2:$D$3</xm:f>
          </x14:formula1>
          <xm:sqref>D4:E30 H4:H30</xm:sqref>
        </x14:dataValidation>
        <x14:dataValidation type="list" allowBlank="1" showInputMessage="1" showErrorMessage="1" xr:uid="{8B54A1B4-59D8-4C8C-A4FE-6F948C5E4D83}">
          <x14:formula1>
            <xm:f>'C1_Convalida dati'!$G$2:$G$9</xm:f>
          </x14:formula1>
          <xm:sqref>I4:J30</xm:sqref>
        </x14:dataValidation>
        <x14:dataValidation type="list" allowBlank="1" showInputMessage="1" showErrorMessage="1" xr:uid="{CBCBD4DB-584D-4683-96FE-D17C2869D534}">
          <x14:formula1>
            <xm:f>'C1_Convalida dati'!$H$2:$H$10</xm:f>
          </x14:formula1>
          <xm:sqref>F4:G30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C4D8-7EAD-4595-975F-2EED849ED85F}">
  <sheetPr>
    <pageSetUpPr fitToPage="1"/>
  </sheetPr>
  <dimension ref="A1:I165"/>
  <sheetViews>
    <sheetView zoomScale="85" zoomScaleNormal="85" workbookViewId="0">
      <pane xSplit="3" ySplit="1" topLeftCell="E2" activePane="bottomRight" state="frozen"/>
      <selection pane="topRight" activeCell="D1" sqref="D1"/>
      <selection pane="bottomLeft" activeCell="A2" sqref="A2"/>
      <selection pane="bottomRight"/>
    </sheetView>
  </sheetViews>
  <sheetFormatPr defaultColWidth="9.21875" defaultRowHeight="211.95" customHeight="1"/>
  <cols>
    <col min="1" max="1" width="15.5546875" style="195" bestFit="1" customWidth="1"/>
    <col min="2" max="2" width="22.5546875" style="195" bestFit="1" customWidth="1"/>
    <col min="3" max="3" width="30.77734375" style="196" bestFit="1" customWidth="1"/>
    <col min="4" max="4" width="39.88671875" style="195" bestFit="1" customWidth="1"/>
    <col min="5" max="5" width="155.109375" style="195" bestFit="1" customWidth="1"/>
    <col min="6" max="6" width="57.77734375" style="195" customWidth="1"/>
    <col min="7" max="7" width="66.88671875" style="195" bestFit="1" customWidth="1"/>
    <col min="8" max="8" width="49.5546875" style="195" bestFit="1" customWidth="1"/>
    <col min="9" max="9" width="54.6640625" style="195" bestFit="1" customWidth="1"/>
    <col min="10" max="10" width="18.5546875" style="173" customWidth="1"/>
    <col min="11" max="11" width="14.21875" style="173" bestFit="1" customWidth="1"/>
    <col min="12" max="16384" width="9.21875" style="173"/>
  </cols>
  <sheetData>
    <row r="1" spans="1:9" ht="59.4" thickBot="1">
      <c r="A1" s="197" t="s">
        <v>0</v>
      </c>
      <c r="B1" s="197" t="s">
        <v>71</v>
      </c>
      <c r="C1" s="198" t="s">
        <v>1</v>
      </c>
      <c r="D1" s="199" t="s">
        <v>72</v>
      </c>
      <c r="E1" s="199" t="s">
        <v>73</v>
      </c>
      <c r="F1" s="200" t="s">
        <v>74</v>
      </c>
      <c r="G1" s="201" t="s">
        <v>75</v>
      </c>
      <c r="H1" s="202" t="s">
        <v>76</v>
      </c>
      <c r="I1" s="244" t="s">
        <v>77</v>
      </c>
    </row>
    <row r="2" spans="1:9" ht="152.4" thickBot="1">
      <c r="A2" s="203" t="s">
        <v>10</v>
      </c>
      <c r="B2" s="204" t="s">
        <v>78</v>
      </c>
      <c r="C2" s="204" t="s">
        <v>10</v>
      </c>
      <c r="D2" s="205" t="s">
        <v>79</v>
      </c>
      <c r="E2" s="205" t="s">
        <v>1189</v>
      </c>
      <c r="F2" s="205"/>
      <c r="G2" s="206" t="s">
        <v>80</v>
      </c>
      <c r="H2" s="207"/>
      <c r="I2" s="207"/>
    </row>
    <row r="3" spans="1:9" ht="124.8" thickBot="1">
      <c r="A3" s="208" t="s">
        <v>10</v>
      </c>
      <c r="B3" s="209" t="s">
        <v>81</v>
      </c>
      <c r="C3" s="209" t="s">
        <v>10</v>
      </c>
      <c r="D3" s="210" t="s">
        <v>82</v>
      </c>
      <c r="E3" s="205" t="s">
        <v>1190</v>
      </c>
      <c r="F3" s="211"/>
      <c r="G3" s="212" t="s">
        <v>83</v>
      </c>
      <c r="H3" s="213"/>
      <c r="I3" s="213"/>
    </row>
    <row r="4" spans="1:9" ht="124.8" thickBot="1">
      <c r="A4" s="214" t="s">
        <v>10</v>
      </c>
      <c r="B4" s="215" t="s">
        <v>84</v>
      </c>
      <c r="C4" s="215" t="s">
        <v>85</v>
      </c>
      <c r="D4" s="216" t="s">
        <v>86</v>
      </c>
      <c r="E4" s="205" t="s">
        <v>1191</v>
      </c>
      <c r="F4" s="217"/>
      <c r="G4" s="218" t="s">
        <v>83</v>
      </c>
      <c r="H4" s="219"/>
      <c r="I4" s="219"/>
    </row>
    <row r="5" spans="1:9" ht="138.6" thickBot="1">
      <c r="A5" s="220" t="s">
        <v>12</v>
      </c>
      <c r="B5" s="204" t="s">
        <v>87</v>
      </c>
      <c r="C5" s="204" t="s">
        <v>13</v>
      </c>
      <c r="D5" s="221" t="s">
        <v>88</v>
      </c>
      <c r="E5" s="205" t="s">
        <v>1192</v>
      </c>
      <c r="F5" s="205"/>
      <c r="G5" s="206" t="s">
        <v>89</v>
      </c>
      <c r="H5" s="207"/>
      <c r="I5" s="207"/>
    </row>
    <row r="6" spans="1:9" ht="138.6" thickBot="1">
      <c r="A6" s="222" t="s">
        <v>12</v>
      </c>
      <c r="B6" s="209" t="s">
        <v>90</v>
      </c>
      <c r="C6" s="209" t="s">
        <v>13</v>
      </c>
      <c r="D6" s="210" t="s">
        <v>91</v>
      </c>
      <c r="E6" s="205" t="s">
        <v>1193</v>
      </c>
      <c r="F6" s="211"/>
      <c r="G6" s="212" t="s">
        <v>92</v>
      </c>
      <c r="H6" s="213"/>
      <c r="I6" s="213"/>
    </row>
    <row r="7" spans="1:9" ht="111" thickBot="1">
      <c r="A7" s="208" t="s">
        <v>12</v>
      </c>
      <c r="B7" s="209" t="s">
        <v>93</v>
      </c>
      <c r="C7" s="209" t="s">
        <v>13</v>
      </c>
      <c r="D7" s="210" t="s">
        <v>94</v>
      </c>
      <c r="E7" s="205" t="s">
        <v>1185</v>
      </c>
      <c r="F7" s="211"/>
      <c r="G7" s="212" t="s">
        <v>92</v>
      </c>
      <c r="H7" s="213"/>
      <c r="I7" s="213"/>
    </row>
    <row r="8" spans="1:9" ht="138.6" thickBot="1">
      <c r="A8" s="208" t="s">
        <v>12</v>
      </c>
      <c r="B8" s="209" t="s">
        <v>95</v>
      </c>
      <c r="C8" s="209" t="s">
        <v>13</v>
      </c>
      <c r="D8" s="210" t="s">
        <v>96</v>
      </c>
      <c r="E8" s="205" t="s">
        <v>1194</v>
      </c>
      <c r="F8" s="211"/>
      <c r="G8" s="212" t="s">
        <v>92</v>
      </c>
      <c r="H8" s="213"/>
      <c r="I8" s="213"/>
    </row>
    <row r="9" spans="1:9" ht="138.6" thickBot="1">
      <c r="A9" s="208" t="s">
        <v>12</v>
      </c>
      <c r="B9" s="209" t="s">
        <v>97</v>
      </c>
      <c r="C9" s="209" t="s">
        <v>13</v>
      </c>
      <c r="D9" s="210" t="s">
        <v>98</v>
      </c>
      <c r="E9" s="205" t="s">
        <v>1195</v>
      </c>
      <c r="F9" s="211"/>
      <c r="G9" s="212" t="s">
        <v>89</v>
      </c>
      <c r="H9" s="213"/>
      <c r="I9" s="213"/>
    </row>
    <row r="10" spans="1:9" ht="111" thickBot="1">
      <c r="A10" s="208" t="s">
        <v>12</v>
      </c>
      <c r="B10" s="209" t="s">
        <v>99</v>
      </c>
      <c r="C10" s="209" t="s">
        <v>13</v>
      </c>
      <c r="D10" s="210" t="s">
        <v>100</v>
      </c>
      <c r="E10" s="205" t="s">
        <v>1196</v>
      </c>
      <c r="F10" s="211"/>
      <c r="G10" s="212" t="s">
        <v>89</v>
      </c>
      <c r="H10" s="213"/>
      <c r="I10" s="213"/>
    </row>
    <row r="11" spans="1:9" ht="111" thickBot="1">
      <c r="A11" s="208" t="s">
        <v>12</v>
      </c>
      <c r="B11" s="209" t="s">
        <v>101</v>
      </c>
      <c r="C11" s="209" t="s">
        <v>13</v>
      </c>
      <c r="D11" s="210" t="s">
        <v>102</v>
      </c>
      <c r="E11" s="205" t="s">
        <v>1197</v>
      </c>
      <c r="F11" s="211"/>
      <c r="G11" s="212" t="s">
        <v>89</v>
      </c>
      <c r="H11" s="213"/>
      <c r="I11" s="213"/>
    </row>
    <row r="12" spans="1:9" ht="97.2" thickBot="1">
      <c r="A12" s="208" t="s">
        <v>12</v>
      </c>
      <c r="B12" s="209" t="s">
        <v>103</v>
      </c>
      <c r="C12" s="209" t="s">
        <v>13</v>
      </c>
      <c r="D12" s="210" t="s">
        <v>104</v>
      </c>
      <c r="E12" s="205" t="s">
        <v>1186</v>
      </c>
      <c r="F12" s="211"/>
      <c r="G12" s="212" t="s">
        <v>89</v>
      </c>
      <c r="H12" s="213"/>
      <c r="I12" s="213"/>
    </row>
    <row r="13" spans="1:9" ht="124.8" thickBot="1">
      <c r="A13" s="208" t="s">
        <v>12</v>
      </c>
      <c r="B13" s="209" t="s">
        <v>105</v>
      </c>
      <c r="C13" s="209" t="s">
        <v>13</v>
      </c>
      <c r="D13" s="210" t="s">
        <v>106</v>
      </c>
      <c r="E13" s="205" t="s">
        <v>1198</v>
      </c>
      <c r="F13" s="211"/>
      <c r="G13" s="212" t="s">
        <v>89</v>
      </c>
      <c r="H13" s="213"/>
      <c r="I13" s="213"/>
    </row>
    <row r="14" spans="1:9" ht="111" thickBot="1">
      <c r="A14" s="208" t="s">
        <v>12</v>
      </c>
      <c r="B14" s="209" t="s">
        <v>107</v>
      </c>
      <c r="C14" s="209" t="s">
        <v>13</v>
      </c>
      <c r="D14" s="210" t="s">
        <v>108</v>
      </c>
      <c r="E14" s="205" t="s">
        <v>1199</v>
      </c>
      <c r="F14" s="211"/>
      <c r="G14" s="212" t="s">
        <v>109</v>
      </c>
      <c r="H14" s="213"/>
      <c r="I14" s="213"/>
    </row>
    <row r="15" spans="1:9" ht="207.6" thickBot="1">
      <c r="A15" s="208" t="s">
        <v>12</v>
      </c>
      <c r="B15" s="209" t="s">
        <v>110</v>
      </c>
      <c r="C15" s="209" t="s">
        <v>15</v>
      </c>
      <c r="D15" s="210" t="s">
        <v>1200</v>
      </c>
      <c r="E15" s="205" t="s">
        <v>1201</v>
      </c>
      <c r="F15" s="211"/>
      <c r="G15" s="212" t="s">
        <v>111</v>
      </c>
      <c r="H15" s="213"/>
      <c r="I15" s="213"/>
    </row>
    <row r="16" spans="1:9" ht="193.8" thickBot="1">
      <c r="A16" s="208" t="s">
        <v>12</v>
      </c>
      <c r="B16" s="209" t="s">
        <v>112</v>
      </c>
      <c r="C16" s="209" t="s">
        <v>15</v>
      </c>
      <c r="D16" s="210" t="s">
        <v>1202</v>
      </c>
      <c r="E16" s="205" t="s">
        <v>113</v>
      </c>
      <c r="F16" s="211"/>
      <c r="G16" s="212" t="s">
        <v>111</v>
      </c>
      <c r="H16" s="213"/>
      <c r="I16" s="213"/>
    </row>
    <row r="17" spans="1:9" ht="221.4" thickBot="1">
      <c r="A17" s="208" t="s">
        <v>12</v>
      </c>
      <c r="B17" s="209" t="s">
        <v>114</v>
      </c>
      <c r="C17" s="209" t="s">
        <v>15</v>
      </c>
      <c r="D17" s="210" t="s">
        <v>1203</v>
      </c>
      <c r="E17" s="205" t="s">
        <v>1187</v>
      </c>
      <c r="F17" s="211"/>
      <c r="G17" s="212" t="s">
        <v>111</v>
      </c>
      <c r="H17" s="213"/>
      <c r="I17" s="213"/>
    </row>
    <row r="18" spans="1:9" ht="193.8" thickBot="1">
      <c r="A18" s="208" t="s">
        <v>12</v>
      </c>
      <c r="B18" s="209" t="s">
        <v>115</v>
      </c>
      <c r="C18" s="209" t="s">
        <v>15</v>
      </c>
      <c r="D18" s="210" t="s">
        <v>1204</v>
      </c>
      <c r="E18" s="205" t="s">
        <v>116</v>
      </c>
      <c r="F18" s="211"/>
      <c r="G18" s="212" t="s">
        <v>111</v>
      </c>
      <c r="H18" s="213"/>
      <c r="I18" s="213"/>
    </row>
    <row r="19" spans="1:9" ht="207.6" thickBot="1">
      <c r="A19" s="208" t="s">
        <v>12</v>
      </c>
      <c r="B19" s="209" t="s">
        <v>117</v>
      </c>
      <c r="C19" s="209" t="s">
        <v>15</v>
      </c>
      <c r="D19" s="210" t="s">
        <v>1205</v>
      </c>
      <c r="E19" s="205" t="s">
        <v>1206</v>
      </c>
      <c r="F19" s="211"/>
      <c r="G19" s="212" t="s">
        <v>111</v>
      </c>
      <c r="H19" s="213"/>
      <c r="I19" s="213"/>
    </row>
    <row r="20" spans="1:9" ht="180" thickBot="1">
      <c r="A20" s="208" t="s">
        <v>12</v>
      </c>
      <c r="B20" s="209" t="s">
        <v>118</v>
      </c>
      <c r="C20" s="209" t="s">
        <v>17</v>
      </c>
      <c r="D20" s="210" t="s">
        <v>119</v>
      </c>
      <c r="E20" s="205" t="s">
        <v>1207</v>
      </c>
      <c r="F20" s="211"/>
      <c r="G20" s="212" t="s">
        <v>111</v>
      </c>
      <c r="H20" s="213"/>
      <c r="I20" s="213"/>
    </row>
    <row r="21" spans="1:9" ht="180" thickBot="1">
      <c r="A21" s="208" t="s">
        <v>12</v>
      </c>
      <c r="B21" s="209" t="s">
        <v>120</v>
      </c>
      <c r="C21" s="209" t="s">
        <v>19</v>
      </c>
      <c r="D21" s="210" t="s">
        <v>121</v>
      </c>
      <c r="E21" s="205" t="s">
        <v>1208</v>
      </c>
      <c r="F21" s="211"/>
      <c r="G21" s="212" t="s">
        <v>111</v>
      </c>
      <c r="H21" s="213"/>
      <c r="I21" s="213"/>
    </row>
    <row r="22" spans="1:9" ht="124.8" thickBot="1">
      <c r="A22" s="208" t="s">
        <v>12</v>
      </c>
      <c r="B22" s="209" t="s">
        <v>122</v>
      </c>
      <c r="C22" s="209" t="s">
        <v>21</v>
      </c>
      <c r="D22" s="210" t="s">
        <v>123</v>
      </c>
      <c r="E22" s="205" t="s">
        <v>1209</v>
      </c>
      <c r="F22" s="211"/>
      <c r="G22" s="212" t="s">
        <v>124</v>
      </c>
      <c r="H22" s="213"/>
      <c r="I22" s="213"/>
    </row>
    <row r="23" spans="1:9" ht="152.4" thickBot="1">
      <c r="A23" s="214" t="s">
        <v>12</v>
      </c>
      <c r="B23" s="215" t="s">
        <v>125</v>
      </c>
      <c r="C23" s="215" t="s">
        <v>21</v>
      </c>
      <c r="D23" s="216" t="s">
        <v>126</v>
      </c>
      <c r="E23" s="205" t="s">
        <v>1210</v>
      </c>
      <c r="F23" s="217"/>
      <c r="G23" s="218" t="s">
        <v>127</v>
      </c>
      <c r="H23" s="219"/>
      <c r="I23" s="219"/>
    </row>
    <row r="24" spans="1:9" ht="111" thickBot="1">
      <c r="A24" s="203" t="s">
        <v>23</v>
      </c>
      <c r="B24" s="204" t="s">
        <v>128</v>
      </c>
      <c r="C24" s="204" t="s">
        <v>24</v>
      </c>
      <c r="D24" s="205" t="s">
        <v>129</v>
      </c>
      <c r="E24" s="205" t="s">
        <v>1211</v>
      </c>
      <c r="F24" s="205"/>
      <c r="G24" s="206" t="s">
        <v>130</v>
      </c>
      <c r="H24" s="207"/>
      <c r="I24" s="207"/>
    </row>
    <row r="25" spans="1:9" ht="111" thickBot="1">
      <c r="A25" s="208" t="s">
        <v>23</v>
      </c>
      <c r="B25" s="209" t="s">
        <v>131</v>
      </c>
      <c r="C25" s="209" t="s">
        <v>24</v>
      </c>
      <c r="D25" s="210" t="s">
        <v>132</v>
      </c>
      <c r="E25" s="205" t="s">
        <v>1212</v>
      </c>
      <c r="F25" s="211"/>
      <c r="G25" s="212" t="s">
        <v>133</v>
      </c>
      <c r="H25" s="213"/>
      <c r="I25" s="213"/>
    </row>
    <row r="26" spans="1:9" ht="97.2" thickBot="1">
      <c r="A26" s="208" t="s">
        <v>23</v>
      </c>
      <c r="B26" s="209" t="s">
        <v>134</v>
      </c>
      <c r="C26" s="209" t="s">
        <v>24</v>
      </c>
      <c r="D26" s="210" t="s">
        <v>135</v>
      </c>
      <c r="E26" s="205" t="s">
        <v>1213</v>
      </c>
      <c r="F26" s="211"/>
      <c r="G26" s="212" t="s">
        <v>136</v>
      </c>
      <c r="H26" s="213"/>
      <c r="I26" s="213"/>
    </row>
    <row r="27" spans="1:9" ht="111" thickBot="1">
      <c r="A27" s="208" t="s">
        <v>23</v>
      </c>
      <c r="B27" s="209" t="s">
        <v>137</v>
      </c>
      <c r="C27" s="209" t="s">
        <v>24</v>
      </c>
      <c r="D27" s="210" t="s">
        <v>138</v>
      </c>
      <c r="E27" s="205" t="s">
        <v>1214</v>
      </c>
      <c r="F27" s="211"/>
      <c r="G27" s="212" t="s">
        <v>133</v>
      </c>
      <c r="H27" s="213"/>
      <c r="I27" s="213"/>
    </row>
    <row r="28" spans="1:9" ht="124.8" thickBot="1">
      <c r="A28" s="208" t="s">
        <v>23</v>
      </c>
      <c r="B28" s="209" t="s">
        <v>139</v>
      </c>
      <c r="C28" s="209" t="s">
        <v>26</v>
      </c>
      <c r="D28" s="210" t="s">
        <v>1215</v>
      </c>
      <c r="E28" s="205" t="s">
        <v>1216</v>
      </c>
      <c r="F28" s="211"/>
      <c r="G28" s="212" t="s">
        <v>1183</v>
      </c>
      <c r="H28" s="213"/>
      <c r="I28" s="213"/>
    </row>
    <row r="29" spans="1:9" ht="124.8" thickBot="1">
      <c r="A29" s="208" t="s">
        <v>23</v>
      </c>
      <c r="B29" s="209" t="s">
        <v>140</v>
      </c>
      <c r="C29" s="209" t="s">
        <v>26</v>
      </c>
      <c r="D29" s="210" t="s">
        <v>1217</v>
      </c>
      <c r="E29" s="205" t="s">
        <v>1218</v>
      </c>
      <c r="F29" s="211"/>
      <c r="G29" s="212" t="s">
        <v>1184</v>
      </c>
      <c r="H29" s="213"/>
      <c r="I29" s="213"/>
    </row>
    <row r="30" spans="1:9" ht="124.8" thickBot="1">
      <c r="A30" s="208" t="s">
        <v>23</v>
      </c>
      <c r="B30" s="209" t="s">
        <v>141</v>
      </c>
      <c r="C30" s="209" t="s">
        <v>26</v>
      </c>
      <c r="D30" s="210" t="s">
        <v>1219</v>
      </c>
      <c r="E30" s="205" t="s">
        <v>1220</v>
      </c>
      <c r="F30" s="211"/>
      <c r="G30" s="212" t="s">
        <v>142</v>
      </c>
      <c r="H30" s="213"/>
      <c r="I30" s="213"/>
    </row>
    <row r="31" spans="1:9" ht="97.2" thickBot="1">
      <c r="A31" s="208" t="s">
        <v>23</v>
      </c>
      <c r="B31" s="209" t="s">
        <v>143</v>
      </c>
      <c r="C31" s="209" t="s">
        <v>26</v>
      </c>
      <c r="D31" s="210" t="s">
        <v>1221</v>
      </c>
      <c r="E31" s="205" t="s">
        <v>1222</v>
      </c>
      <c r="F31" s="211"/>
      <c r="G31" s="212" t="s">
        <v>144</v>
      </c>
      <c r="H31" s="213"/>
      <c r="I31" s="213"/>
    </row>
    <row r="32" spans="1:9" ht="124.8" thickBot="1">
      <c r="A32" s="208" t="s">
        <v>23</v>
      </c>
      <c r="B32" s="209" t="s">
        <v>145</v>
      </c>
      <c r="C32" s="209" t="s">
        <v>26</v>
      </c>
      <c r="D32" s="210" t="s">
        <v>1223</v>
      </c>
      <c r="E32" s="205" t="s">
        <v>1224</v>
      </c>
      <c r="F32" s="211"/>
      <c r="G32" s="212" t="s">
        <v>146</v>
      </c>
      <c r="H32" s="213"/>
      <c r="I32" s="213"/>
    </row>
    <row r="33" spans="1:9" ht="138.6" thickBot="1">
      <c r="A33" s="208" t="s">
        <v>23</v>
      </c>
      <c r="B33" s="209" t="s">
        <v>147</v>
      </c>
      <c r="C33" s="209" t="s">
        <v>26</v>
      </c>
      <c r="D33" s="210" t="s">
        <v>1225</v>
      </c>
      <c r="E33" s="205" t="s">
        <v>1226</v>
      </c>
      <c r="F33" s="211"/>
      <c r="G33" s="212" t="s">
        <v>148</v>
      </c>
      <c r="H33" s="213"/>
      <c r="I33" s="213"/>
    </row>
    <row r="34" spans="1:9" ht="42" thickBot="1">
      <c r="A34" s="208" t="s">
        <v>23</v>
      </c>
      <c r="B34" s="209" t="s">
        <v>149</v>
      </c>
      <c r="C34" s="209" t="s">
        <v>26</v>
      </c>
      <c r="D34" s="210" t="s">
        <v>150</v>
      </c>
      <c r="E34" s="205" t="s">
        <v>1188</v>
      </c>
      <c r="F34" s="211"/>
      <c r="G34" s="212" t="s">
        <v>151</v>
      </c>
      <c r="H34" s="213"/>
      <c r="I34" s="213"/>
    </row>
    <row r="35" spans="1:9" ht="69.599999999999994" thickBot="1">
      <c r="A35" s="208" t="s">
        <v>23</v>
      </c>
      <c r="B35" s="209" t="s">
        <v>152</v>
      </c>
      <c r="C35" s="209" t="s">
        <v>26</v>
      </c>
      <c r="D35" s="210" t="s">
        <v>153</v>
      </c>
      <c r="E35" s="205" t="s">
        <v>1227</v>
      </c>
      <c r="F35" s="211"/>
      <c r="G35" s="212" t="s">
        <v>154</v>
      </c>
      <c r="H35" s="213"/>
      <c r="I35" s="213"/>
    </row>
    <row r="36" spans="1:9" ht="83.4" thickBot="1">
      <c r="A36" s="208" t="s">
        <v>23</v>
      </c>
      <c r="B36" s="209" t="s">
        <v>155</v>
      </c>
      <c r="C36" s="209" t="s">
        <v>156</v>
      </c>
      <c r="D36" s="210" t="s">
        <v>157</v>
      </c>
      <c r="E36" s="205" t="s">
        <v>1228</v>
      </c>
      <c r="F36" s="211"/>
      <c r="G36" s="212" t="s">
        <v>158</v>
      </c>
      <c r="H36" s="213"/>
      <c r="I36" s="213"/>
    </row>
    <row r="37" spans="1:9" ht="166.2" thickBot="1">
      <c r="A37" s="208" t="s">
        <v>23</v>
      </c>
      <c r="B37" s="209" t="s">
        <v>159</v>
      </c>
      <c r="C37" s="209" t="s">
        <v>28</v>
      </c>
      <c r="D37" s="210" t="s">
        <v>1229</v>
      </c>
      <c r="E37" s="205" t="s">
        <v>1230</v>
      </c>
      <c r="F37" s="211"/>
      <c r="G37" s="212" t="s">
        <v>160</v>
      </c>
      <c r="H37" s="213"/>
      <c r="I37" s="213"/>
    </row>
    <row r="38" spans="1:9" ht="83.4" thickBot="1">
      <c r="A38" s="208" t="s">
        <v>23</v>
      </c>
      <c r="B38" s="209" t="s">
        <v>161</v>
      </c>
      <c r="C38" s="209" t="s">
        <v>30</v>
      </c>
      <c r="D38" s="210" t="s">
        <v>162</v>
      </c>
      <c r="E38" s="205" t="s">
        <v>1231</v>
      </c>
      <c r="F38" s="211"/>
      <c r="G38" s="212" t="s">
        <v>163</v>
      </c>
      <c r="H38" s="213"/>
      <c r="I38" s="213"/>
    </row>
    <row r="39" spans="1:9" ht="111" thickBot="1">
      <c r="A39" s="208" t="s">
        <v>23</v>
      </c>
      <c r="B39" s="209" t="s">
        <v>164</v>
      </c>
      <c r="C39" s="209" t="s">
        <v>30</v>
      </c>
      <c r="D39" s="210" t="s">
        <v>165</v>
      </c>
      <c r="E39" s="205" t="s">
        <v>1232</v>
      </c>
      <c r="F39" s="211"/>
      <c r="G39" s="212" t="s">
        <v>166</v>
      </c>
      <c r="H39" s="213"/>
      <c r="I39" s="213"/>
    </row>
    <row r="40" spans="1:9" ht="83.4" thickBot="1">
      <c r="A40" s="208" t="s">
        <v>23</v>
      </c>
      <c r="B40" s="209" t="s">
        <v>167</v>
      </c>
      <c r="C40" s="209" t="s">
        <v>30</v>
      </c>
      <c r="D40" s="210" t="s">
        <v>168</v>
      </c>
      <c r="E40" s="205" t="s">
        <v>1233</v>
      </c>
      <c r="F40" s="211"/>
      <c r="G40" s="212" t="s">
        <v>169</v>
      </c>
      <c r="H40" s="213"/>
      <c r="I40" s="213"/>
    </row>
    <row r="41" spans="1:9" ht="55.8" thickBot="1">
      <c r="A41" s="208" t="s">
        <v>23</v>
      </c>
      <c r="B41" s="209" t="s">
        <v>170</v>
      </c>
      <c r="C41" s="209" t="s">
        <v>1234</v>
      </c>
      <c r="D41" s="223" t="s">
        <v>171</v>
      </c>
      <c r="E41" s="205" t="s">
        <v>1399</v>
      </c>
      <c r="F41" s="211"/>
      <c r="G41" s="212" t="s">
        <v>172</v>
      </c>
      <c r="H41" s="213"/>
      <c r="I41" s="213"/>
    </row>
    <row r="42" spans="1:9" ht="42" thickBot="1">
      <c r="A42" s="208" t="s">
        <v>23</v>
      </c>
      <c r="B42" s="209" t="s">
        <v>173</v>
      </c>
      <c r="C42" s="209" t="s">
        <v>1234</v>
      </c>
      <c r="D42" s="223" t="s">
        <v>174</v>
      </c>
      <c r="E42" s="205" t="s">
        <v>1401</v>
      </c>
      <c r="F42" s="211"/>
      <c r="G42" s="212" t="s">
        <v>175</v>
      </c>
      <c r="H42" s="213"/>
      <c r="I42" s="213"/>
    </row>
    <row r="43" spans="1:9" ht="55.8" thickBot="1">
      <c r="A43" s="214" t="s">
        <v>23</v>
      </c>
      <c r="B43" s="215" t="s">
        <v>176</v>
      </c>
      <c r="C43" s="215" t="s">
        <v>1235</v>
      </c>
      <c r="D43" s="224" t="s">
        <v>177</v>
      </c>
      <c r="E43" s="205" t="s">
        <v>1400</v>
      </c>
      <c r="F43" s="217"/>
      <c r="G43" s="218" t="s">
        <v>178</v>
      </c>
      <c r="H43" s="219"/>
      <c r="I43" s="219"/>
    </row>
    <row r="44" spans="1:9" ht="69.599999999999994" thickBot="1">
      <c r="A44" s="203" t="s">
        <v>32</v>
      </c>
      <c r="B44" s="204" t="s">
        <v>179</v>
      </c>
      <c r="C44" s="204" t="s">
        <v>33</v>
      </c>
      <c r="D44" s="225" t="s">
        <v>180</v>
      </c>
      <c r="E44" s="205" t="s">
        <v>1236</v>
      </c>
      <c r="F44" s="205"/>
      <c r="G44" s="206" t="s">
        <v>181</v>
      </c>
      <c r="H44" s="207"/>
      <c r="I44" s="207"/>
    </row>
    <row r="45" spans="1:9" ht="69.599999999999994" thickBot="1">
      <c r="A45" s="208" t="s">
        <v>32</v>
      </c>
      <c r="B45" s="209" t="s">
        <v>182</v>
      </c>
      <c r="C45" s="209" t="s">
        <v>33</v>
      </c>
      <c r="D45" s="223" t="s">
        <v>183</v>
      </c>
      <c r="E45" s="205" t="s">
        <v>1237</v>
      </c>
      <c r="F45" s="211"/>
      <c r="G45" s="212" t="s">
        <v>172</v>
      </c>
      <c r="H45" s="213"/>
      <c r="I45" s="213"/>
    </row>
    <row r="46" spans="1:9" ht="42" thickBot="1">
      <c r="A46" s="208" t="s">
        <v>32</v>
      </c>
      <c r="B46" s="209" t="s">
        <v>184</v>
      </c>
      <c r="C46" s="209" t="s">
        <v>33</v>
      </c>
      <c r="D46" s="223" t="s">
        <v>185</v>
      </c>
      <c r="E46" s="205" t="s">
        <v>1238</v>
      </c>
      <c r="F46" s="211"/>
      <c r="G46" s="212" t="s">
        <v>172</v>
      </c>
      <c r="H46" s="213"/>
      <c r="I46" s="213"/>
    </row>
    <row r="47" spans="1:9" ht="69.599999999999994" thickBot="1">
      <c r="A47" s="208" t="s">
        <v>32</v>
      </c>
      <c r="B47" s="209" t="s">
        <v>186</v>
      </c>
      <c r="C47" s="209" t="s">
        <v>33</v>
      </c>
      <c r="D47" s="223" t="s">
        <v>187</v>
      </c>
      <c r="E47" s="205" t="s">
        <v>1239</v>
      </c>
      <c r="F47" s="211"/>
      <c r="G47" s="212" t="s">
        <v>172</v>
      </c>
      <c r="H47" s="213"/>
      <c r="I47" s="213"/>
    </row>
    <row r="48" spans="1:9" ht="83.4" thickBot="1">
      <c r="A48" s="208" t="s">
        <v>32</v>
      </c>
      <c r="B48" s="209" t="s">
        <v>188</v>
      </c>
      <c r="C48" s="209" t="s">
        <v>33</v>
      </c>
      <c r="D48" s="223" t="s">
        <v>189</v>
      </c>
      <c r="E48" s="205" t="s">
        <v>1240</v>
      </c>
      <c r="F48" s="211"/>
      <c r="G48" s="212" t="s">
        <v>190</v>
      </c>
      <c r="H48" s="213"/>
      <c r="I48" s="213"/>
    </row>
    <row r="49" spans="1:9" ht="55.8" thickBot="1">
      <c r="A49" s="208" t="s">
        <v>32</v>
      </c>
      <c r="B49" s="209" t="s">
        <v>191</v>
      </c>
      <c r="C49" s="209" t="s">
        <v>33</v>
      </c>
      <c r="D49" s="223" t="s">
        <v>192</v>
      </c>
      <c r="E49" s="205" t="s">
        <v>1241</v>
      </c>
      <c r="F49" s="211"/>
      <c r="G49" s="212" t="s">
        <v>190</v>
      </c>
      <c r="H49" s="213"/>
      <c r="I49" s="213"/>
    </row>
    <row r="50" spans="1:9" ht="55.8" thickBot="1">
      <c r="A50" s="208" t="s">
        <v>32</v>
      </c>
      <c r="B50" s="209" t="s">
        <v>193</v>
      </c>
      <c r="C50" s="209" t="s">
        <v>33</v>
      </c>
      <c r="D50" s="223" t="s">
        <v>194</v>
      </c>
      <c r="E50" s="205" t="s">
        <v>1242</v>
      </c>
      <c r="F50" s="211"/>
      <c r="G50" s="212" t="s">
        <v>195</v>
      </c>
      <c r="H50" s="213"/>
      <c r="I50" s="213"/>
    </row>
    <row r="51" spans="1:9" ht="55.8" thickBot="1">
      <c r="A51" s="208" t="s">
        <v>32</v>
      </c>
      <c r="B51" s="209" t="s">
        <v>196</v>
      </c>
      <c r="C51" s="209" t="s">
        <v>33</v>
      </c>
      <c r="D51" s="223" t="s">
        <v>197</v>
      </c>
      <c r="E51" s="205" t="s">
        <v>1243</v>
      </c>
      <c r="F51" s="211"/>
      <c r="G51" s="212" t="s">
        <v>198</v>
      </c>
      <c r="H51" s="213"/>
      <c r="I51" s="213"/>
    </row>
    <row r="52" spans="1:9" ht="83.4" thickBot="1">
      <c r="A52" s="208" t="s">
        <v>32</v>
      </c>
      <c r="B52" s="209" t="s">
        <v>199</v>
      </c>
      <c r="C52" s="209" t="s">
        <v>33</v>
      </c>
      <c r="D52" s="223" t="s">
        <v>200</v>
      </c>
      <c r="E52" s="205" t="s">
        <v>1244</v>
      </c>
      <c r="F52" s="211"/>
      <c r="G52" s="212" t="s">
        <v>201</v>
      </c>
      <c r="H52" s="213"/>
      <c r="I52" s="213"/>
    </row>
    <row r="53" spans="1:9" ht="42" thickBot="1">
      <c r="A53" s="208" t="s">
        <v>32</v>
      </c>
      <c r="B53" s="209" t="s">
        <v>202</v>
      </c>
      <c r="C53" s="209" t="s">
        <v>33</v>
      </c>
      <c r="D53" s="223" t="s">
        <v>203</v>
      </c>
      <c r="E53" s="205" t="s">
        <v>1245</v>
      </c>
      <c r="F53" s="211"/>
      <c r="G53" s="212" t="s">
        <v>204</v>
      </c>
      <c r="H53" s="213"/>
      <c r="I53" s="213"/>
    </row>
    <row r="54" spans="1:9" ht="42" thickBot="1">
      <c r="A54" s="208" t="s">
        <v>32</v>
      </c>
      <c r="B54" s="209" t="s">
        <v>205</v>
      </c>
      <c r="C54" s="209" t="s">
        <v>33</v>
      </c>
      <c r="D54" s="223" t="s">
        <v>1246</v>
      </c>
      <c r="E54" s="205" t="s">
        <v>1247</v>
      </c>
      <c r="F54" s="211"/>
      <c r="G54" s="212" t="s">
        <v>204</v>
      </c>
      <c r="H54" s="213"/>
      <c r="I54" s="213"/>
    </row>
    <row r="55" spans="1:9" ht="42" thickBot="1">
      <c r="A55" s="208" t="s">
        <v>32</v>
      </c>
      <c r="B55" s="209" t="s">
        <v>206</v>
      </c>
      <c r="C55" s="209" t="s">
        <v>33</v>
      </c>
      <c r="D55" s="223" t="s">
        <v>207</v>
      </c>
      <c r="E55" s="205" t="s">
        <v>1248</v>
      </c>
      <c r="F55" s="211"/>
      <c r="G55" s="212" t="s">
        <v>204</v>
      </c>
      <c r="H55" s="213"/>
      <c r="I55" s="213"/>
    </row>
    <row r="56" spans="1:9" ht="42" thickBot="1">
      <c r="A56" s="208" t="s">
        <v>32</v>
      </c>
      <c r="B56" s="209" t="s">
        <v>208</v>
      </c>
      <c r="C56" s="209" t="s">
        <v>33</v>
      </c>
      <c r="D56" s="223" t="s">
        <v>209</v>
      </c>
      <c r="E56" s="205" t="s">
        <v>1249</v>
      </c>
      <c r="F56" s="211"/>
      <c r="G56" s="212" t="s">
        <v>210</v>
      </c>
      <c r="H56" s="213"/>
      <c r="I56" s="213"/>
    </row>
    <row r="57" spans="1:9" ht="55.8" thickBot="1">
      <c r="A57" s="208" t="s">
        <v>32</v>
      </c>
      <c r="B57" s="209" t="s">
        <v>211</v>
      </c>
      <c r="C57" s="209" t="s">
        <v>33</v>
      </c>
      <c r="D57" s="223" t="s">
        <v>212</v>
      </c>
      <c r="E57" s="205" t="s">
        <v>1250</v>
      </c>
      <c r="F57" s="211"/>
      <c r="G57" s="212" t="s">
        <v>213</v>
      </c>
      <c r="H57" s="213"/>
      <c r="I57" s="213"/>
    </row>
    <row r="58" spans="1:9" ht="28.2" thickBot="1">
      <c r="A58" s="208" t="s">
        <v>32</v>
      </c>
      <c r="B58" s="209" t="s">
        <v>214</v>
      </c>
      <c r="C58" s="209" t="s">
        <v>33</v>
      </c>
      <c r="D58" s="223" t="s">
        <v>215</v>
      </c>
      <c r="E58" s="205" t="s">
        <v>1251</v>
      </c>
      <c r="F58" s="211"/>
      <c r="G58" s="212" t="s">
        <v>213</v>
      </c>
      <c r="H58" s="213"/>
      <c r="I58" s="213"/>
    </row>
    <row r="59" spans="1:9" ht="55.8" thickBot="1">
      <c r="A59" s="208" t="s">
        <v>32</v>
      </c>
      <c r="B59" s="209" t="s">
        <v>216</v>
      </c>
      <c r="C59" s="209" t="s">
        <v>33</v>
      </c>
      <c r="D59" s="223" t="s">
        <v>217</v>
      </c>
      <c r="E59" s="205" t="s">
        <v>1252</v>
      </c>
      <c r="F59" s="211"/>
      <c r="G59" s="212" t="s">
        <v>218</v>
      </c>
      <c r="H59" s="213"/>
      <c r="I59" s="213"/>
    </row>
    <row r="60" spans="1:9" ht="42" thickBot="1">
      <c r="A60" s="208" t="s">
        <v>32</v>
      </c>
      <c r="B60" s="209" t="s">
        <v>219</v>
      </c>
      <c r="C60" s="209" t="s">
        <v>33</v>
      </c>
      <c r="D60" s="223" t="s">
        <v>220</v>
      </c>
      <c r="E60" s="205" t="s">
        <v>1253</v>
      </c>
      <c r="F60" s="211"/>
      <c r="G60" s="212" t="s">
        <v>221</v>
      </c>
      <c r="H60" s="213"/>
      <c r="I60" s="213"/>
    </row>
    <row r="61" spans="1:9" ht="83.4" thickBot="1">
      <c r="A61" s="208" t="s">
        <v>32</v>
      </c>
      <c r="B61" s="209" t="s">
        <v>222</v>
      </c>
      <c r="C61" s="209" t="s">
        <v>33</v>
      </c>
      <c r="D61" s="223" t="s">
        <v>223</v>
      </c>
      <c r="E61" s="205" t="s">
        <v>1254</v>
      </c>
      <c r="F61" s="211"/>
      <c r="G61" s="212" t="s">
        <v>224</v>
      </c>
      <c r="H61" s="213"/>
      <c r="I61" s="213"/>
    </row>
    <row r="62" spans="1:9" ht="166.2" thickBot="1">
      <c r="A62" s="208" t="s">
        <v>32</v>
      </c>
      <c r="B62" s="209" t="s">
        <v>225</v>
      </c>
      <c r="C62" s="209" t="s">
        <v>35</v>
      </c>
      <c r="D62" s="223" t="s">
        <v>226</v>
      </c>
      <c r="E62" s="205" t="s">
        <v>1255</v>
      </c>
      <c r="F62" s="211"/>
      <c r="G62" s="212" t="s">
        <v>227</v>
      </c>
      <c r="H62" s="213"/>
      <c r="I62" s="213"/>
    </row>
    <row r="63" spans="1:9" ht="166.2" thickBot="1">
      <c r="A63" s="208" t="s">
        <v>32</v>
      </c>
      <c r="B63" s="209" t="s">
        <v>228</v>
      </c>
      <c r="C63" s="209" t="s">
        <v>1256</v>
      </c>
      <c r="D63" s="223" t="s">
        <v>229</v>
      </c>
      <c r="E63" s="205" t="s">
        <v>230</v>
      </c>
      <c r="F63" s="211"/>
      <c r="G63" s="212" t="s">
        <v>1177</v>
      </c>
      <c r="H63" s="213"/>
      <c r="I63" s="213"/>
    </row>
    <row r="64" spans="1:9" ht="69.599999999999994" thickBot="1">
      <c r="A64" s="208" t="s">
        <v>32</v>
      </c>
      <c r="B64" s="209" t="s">
        <v>231</v>
      </c>
      <c r="C64" s="209" t="s">
        <v>35</v>
      </c>
      <c r="D64" s="223" t="s">
        <v>232</v>
      </c>
      <c r="E64" s="205" t="s">
        <v>233</v>
      </c>
      <c r="F64" s="211"/>
      <c r="G64" s="212" t="s">
        <v>234</v>
      </c>
      <c r="H64" s="213"/>
      <c r="I64" s="213"/>
    </row>
    <row r="65" spans="1:9" ht="55.8" thickBot="1">
      <c r="A65" s="208" t="s">
        <v>32</v>
      </c>
      <c r="B65" s="209" t="s">
        <v>235</v>
      </c>
      <c r="C65" s="209" t="s">
        <v>35</v>
      </c>
      <c r="D65" s="223" t="s">
        <v>236</v>
      </c>
      <c r="E65" s="205" t="s">
        <v>237</v>
      </c>
      <c r="F65" s="211"/>
      <c r="G65" s="212" t="s">
        <v>238</v>
      </c>
      <c r="H65" s="213"/>
      <c r="I65" s="213"/>
    </row>
    <row r="66" spans="1:9" ht="42" thickBot="1">
      <c r="A66" s="208" t="s">
        <v>32</v>
      </c>
      <c r="B66" s="209" t="s">
        <v>239</v>
      </c>
      <c r="C66" s="209" t="s">
        <v>37</v>
      </c>
      <c r="D66" s="223" t="s">
        <v>240</v>
      </c>
      <c r="E66" s="205" t="s">
        <v>241</v>
      </c>
      <c r="F66" s="211"/>
      <c r="G66" s="212" t="s">
        <v>242</v>
      </c>
      <c r="H66" s="213"/>
      <c r="I66" s="213"/>
    </row>
    <row r="67" spans="1:9" ht="42" thickBot="1">
      <c r="A67" s="208" t="s">
        <v>32</v>
      </c>
      <c r="B67" s="209" t="s">
        <v>243</v>
      </c>
      <c r="C67" s="209" t="s">
        <v>37</v>
      </c>
      <c r="D67" s="223" t="s">
        <v>244</v>
      </c>
      <c r="E67" s="205" t="s">
        <v>245</v>
      </c>
      <c r="F67" s="211"/>
      <c r="G67" s="212" t="s">
        <v>246</v>
      </c>
      <c r="H67" s="213"/>
      <c r="I67" s="213"/>
    </row>
    <row r="68" spans="1:9" ht="42" thickBot="1">
      <c r="A68" s="208" t="s">
        <v>32</v>
      </c>
      <c r="B68" s="209" t="s">
        <v>247</v>
      </c>
      <c r="C68" s="209" t="s">
        <v>39</v>
      </c>
      <c r="D68" s="223" t="s">
        <v>248</v>
      </c>
      <c r="E68" s="205" t="s">
        <v>249</v>
      </c>
      <c r="F68" s="211"/>
      <c r="G68" s="212" t="s">
        <v>250</v>
      </c>
      <c r="H68" s="213"/>
      <c r="I68" s="213"/>
    </row>
    <row r="69" spans="1:9" ht="111" thickBot="1">
      <c r="A69" s="208" t="s">
        <v>32</v>
      </c>
      <c r="B69" s="209" t="s">
        <v>251</v>
      </c>
      <c r="C69" s="209" t="s">
        <v>33</v>
      </c>
      <c r="D69" s="223" t="s">
        <v>252</v>
      </c>
      <c r="E69" s="205" t="s">
        <v>1257</v>
      </c>
      <c r="F69" s="211"/>
      <c r="G69" s="212" t="s">
        <v>253</v>
      </c>
      <c r="H69" s="213"/>
      <c r="I69" s="213"/>
    </row>
    <row r="70" spans="1:9" ht="55.8" thickBot="1">
      <c r="A70" s="208" t="s">
        <v>32</v>
      </c>
      <c r="B70" s="209" t="s">
        <v>254</v>
      </c>
      <c r="C70" s="209" t="s">
        <v>41</v>
      </c>
      <c r="D70" s="223" t="s">
        <v>255</v>
      </c>
      <c r="E70" s="205" t="s">
        <v>256</v>
      </c>
      <c r="F70" s="211"/>
      <c r="G70" s="212" t="s">
        <v>257</v>
      </c>
      <c r="H70" s="213"/>
      <c r="I70" s="213"/>
    </row>
    <row r="71" spans="1:9" ht="55.8" thickBot="1">
      <c r="A71" s="208" t="s">
        <v>32</v>
      </c>
      <c r="B71" s="209" t="s">
        <v>258</v>
      </c>
      <c r="C71" s="209" t="s">
        <v>41</v>
      </c>
      <c r="D71" s="223" t="s">
        <v>259</v>
      </c>
      <c r="E71" s="205" t="s">
        <v>260</v>
      </c>
      <c r="F71" s="211"/>
      <c r="G71" s="212" t="s">
        <v>257</v>
      </c>
      <c r="H71" s="213"/>
      <c r="I71" s="213"/>
    </row>
    <row r="72" spans="1:9" ht="69.599999999999994" thickBot="1">
      <c r="A72" s="208" t="s">
        <v>32</v>
      </c>
      <c r="B72" s="209" t="s">
        <v>261</v>
      </c>
      <c r="C72" s="209" t="s">
        <v>41</v>
      </c>
      <c r="D72" s="223" t="s">
        <v>262</v>
      </c>
      <c r="E72" s="205" t="s">
        <v>263</v>
      </c>
      <c r="F72" s="211"/>
      <c r="G72" s="212" t="s">
        <v>257</v>
      </c>
      <c r="H72" s="213"/>
      <c r="I72" s="213"/>
    </row>
    <row r="73" spans="1:9" ht="55.8" thickBot="1">
      <c r="A73" s="214" t="s">
        <v>32</v>
      </c>
      <c r="B73" s="215" t="s">
        <v>264</v>
      </c>
      <c r="C73" s="215" t="s">
        <v>41</v>
      </c>
      <c r="D73" s="224" t="s">
        <v>265</v>
      </c>
      <c r="E73" s="205" t="s">
        <v>266</v>
      </c>
      <c r="F73" s="217"/>
      <c r="G73" s="218" t="s">
        <v>257</v>
      </c>
      <c r="H73" s="219"/>
      <c r="I73" s="219"/>
    </row>
    <row r="74" spans="1:9" ht="55.8" thickBot="1">
      <c r="A74" s="203" t="s">
        <v>43</v>
      </c>
      <c r="B74" s="204" t="s">
        <v>267</v>
      </c>
      <c r="C74" s="204" t="s">
        <v>44</v>
      </c>
      <c r="D74" s="225" t="s">
        <v>268</v>
      </c>
      <c r="E74" s="205" t="s">
        <v>269</v>
      </c>
      <c r="F74" s="205"/>
      <c r="G74" s="206" t="s">
        <v>270</v>
      </c>
      <c r="H74" s="207"/>
      <c r="I74" s="207"/>
    </row>
    <row r="75" spans="1:9" ht="55.8" thickBot="1">
      <c r="A75" s="208" t="s">
        <v>43</v>
      </c>
      <c r="B75" s="209" t="s">
        <v>271</v>
      </c>
      <c r="C75" s="209" t="s">
        <v>44</v>
      </c>
      <c r="D75" s="223" t="s">
        <v>272</v>
      </c>
      <c r="E75" s="205" t="s">
        <v>273</v>
      </c>
      <c r="F75" s="211"/>
      <c r="G75" s="212" t="s">
        <v>274</v>
      </c>
      <c r="H75" s="213"/>
      <c r="I75" s="213"/>
    </row>
    <row r="76" spans="1:9" ht="42" thickBot="1">
      <c r="A76" s="208" t="s">
        <v>43</v>
      </c>
      <c r="B76" s="209" t="s">
        <v>275</v>
      </c>
      <c r="C76" s="209" t="s">
        <v>44</v>
      </c>
      <c r="D76" s="223" t="s">
        <v>276</v>
      </c>
      <c r="E76" s="205" t="s">
        <v>277</v>
      </c>
      <c r="F76" s="211"/>
      <c r="G76" s="212" t="s">
        <v>270</v>
      </c>
      <c r="H76" s="213"/>
      <c r="I76" s="213"/>
    </row>
    <row r="77" spans="1:9" ht="69.599999999999994" thickBot="1">
      <c r="A77" s="208" t="s">
        <v>43</v>
      </c>
      <c r="B77" s="209" t="s">
        <v>278</v>
      </c>
      <c r="C77" s="209" t="s">
        <v>44</v>
      </c>
      <c r="D77" s="223" t="s">
        <v>279</v>
      </c>
      <c r="E77" s="205" t="s">
        <v>1258</v>
      </c>
      <c r="F77" s="211"/>
      <c r="G77" s="212" t="s">
        <v>280</v>
      </c>
      <c r="H77" s="213"/>
      <c r="I77" s="213"/>
    </row>
    <row r="78" spans="1:9" ht="69.599999999999994" thickBot="1">
      <c r="A78" s="208" t="s">
        <v>43</v>
      </c>
      <c r="B78" s="209" t="s">
        <v>281</v>
      </c>
      <c r="C78" s="209" t="s">
        <v>44</v>
      </c>
      <c r="D78" s="223" t="s">
        <v>282</v>
      </c>
      <c r="E78" s="205" t="s">
        <v>1259</v>
      </c>
      <c r="F78" s="211"/>
      <c r="G78" s="212" t="s">
        <v>283</v>
      </c>
      <c r="H78" s="213"/>
      <c r="I78" s="213"/>
    </row>
    <row r="79" spans="1:9" ht="28.2" thickBot="1">
      <c r="A79" s="208" t="s">
        <v>43</v>
      </c>
      <c r="B79" s="209" t="s">
        <v>284</v>
      </c>
      <c r="C79" s="209" t="s">
        <v>44</v>
      </c>
      <c r="D79" s="223" t="s">
        <v>285</v>
      </c>
      <c r="E79" s="205" t="s">
        <v>286</v>
      </c>
      <c r="F79" s="211"/>
      <c r="G79" s="212" t="s">
        <v>270</v>
      </c>
      <c r="H79" s="213"/>
      <c r="I79" s="213"/>
    </row>
    <row r="80" spans="1:9" ht="55.8" thickBot="1">
      <c r="A80" s="208" t="s">
        <v>43</v>
      </c>
      <c r="B80" s="209" t="s">
        <v>287</v>
      </c>
      <c r="C80" s="209" t="s">
        <v>44</v>
      </c>
      <c r="D80" s="223" t="s">
        <v>288</v>
      </c>
      <c r="E80" s="205" t="s">
        <v>289</v>
      </c>
      <c r="F80" s="211"/>
      <c r="G80" s="212" t="s">
        <v>274</v>
      </c>
      <c r="H80" s="213"/>
      <c r="I80" s="213"/>
    </row>
    <row r="81" spans="1:9" ht="69.599999999999994" thickBot="1">
      <c r="A81" s="208" t="s">
        <v>43</v>
      </c>
      <c r="B81" s="209" t="s">
        <v>290</v>
      </c>
      <c r="C81" s="209" t="s">
        <v>44</v>
      </c>
      <c r="D81" s="223" t="s">
        <v>291</v>
      </c>
      <c r="E81" s="205" t="s">
        <v>292</v>
      </c>
      <c r="F81" s="211"/>
      <c r="G81" s="212" t="s">
        <v>293</v>
      </c>
      <c r="H81" s="213"/>
      <c r="I81" s="213"/>
    </row>
    <row r="82" spans="1:9" ht="69.599999999999994" thickBot="1">
      <c r="A82" s="208" t="s">
        <v>43</v>
      </c>
      <c r="B82" s="209" t="s">
        <v>294</v>
      </c>
      <c r="C82" s="209" t="s">
        <v>44</v>
      </c>
      <c r="D82" s="223" t="s">
        <v>295</v>
      </c>
      <c r="E82" s="205" t="s">
        <v>296</v>
      </c>
      <c r="F82" s="211"/>
      <c r="G82" s="212" t="s">
        <v>293</v>
      </c>
      <c r="H82" s="213"/>
      <c r="I82" s="213"/>
    </row>
    <row r="83" spans="1:9" ht="55.8" thickBot="1">
      <c r="A83" s="208" t="s">
        <v>43</v>
      </c>
      <c r="B83" s="209" t="s">
        <v>297</v>
      </c>
      <c r="C83" s="209" t="s">
        <v>44</v>
      </c>
      <c r="D83" s="223" t="s">
        <v>298</v>
      </c>
      <c r="E83" s="205" t="s">
        <v>299</v>
      </c>
      <c r="F83" s="211"/>
      <c r="G83" s="212" t="s">
        <v>300</v>
      </c>
      <c r="H83" s="213"/>
      <c r="I83" s="213"/>
    </row>
    <row r="84" spans="1:9" ht="55.8" thickBot="1">
      <c r="A84" s="208" t="s">
        <v>43</v>
      </c>
      <c r="B84" s="209" t="s">
        <v>301</v>
      </c>
      <c r="C84" s="209" t="s">
        <v>44</v>
      </c>
      <c r="D84" s="223" t="s">
        <v>302</v>
      </c>
      <c r="E84" s="205" t="s">
        <v>303</v>
      </c>
      <c r="F84" s="211"/>
      <c r="G84" s="212" t="s">
        <v>274</v>
      </c>
      <c r="H84" s="213"/>
      <c r="I84" s="213"/>
    </row>
    <row r="85" spans="1:9" ht="42" thickBot="1">
      <c r="A85" s="208" t="s">
        <v>43</v>
      </c>
      <c r="B85" s="209" t="s">
        <v>304</v>
      </c>
      <c r="C85" s="209" t="s">
        <v>44</v>
      </c>
      <c r="D85" s="223" t="s">
        <v>305</v>
      </c>
      <c r="E85" s="205" t="s">
        <v>1260</v>
      </c>
      <c r="F85" s="211"/>
      <c r="G85" s="212" t="s">
        <v>270</v>
      </c>
      <c r="H85" s="213"/>
      <c r="I85" s="213"/>
    </row>
    <row r="86" spans="1:9" ht="69.599999999999994" thickBot="1">
      <c r="A86" s="208" t="s">
        <v>43</v>
      </c>
      <c r="B86" s="209" t="s">
        <v>306</v>
      </c>
      <c r="C86" s="209" t="s">
        <v>44</v>
      </c>
      <c r="D86" s="223" t="s">
        <v>307</v>
      </c>
      <c r="E86" s="205" t="s">
        <v>308</v>
      </c>
      <c r="F86" s="211"/>
      <c r="G86" s="212" t="s">
        <v>309</v>
      </c>
      <c r="H86" s="213"/>
      <c r="I86" s="213"/>
    </row>
    <row r="87" spans="1:9" ht="124.8" thickBot="1">
      <c r="A87" s="208" t="s">
        <v>43</v>
      </c>
      <c r="B87" s="209" t="s">
        <v>310</v>
      </c>
      <c r="C87" s="209" t="s">
        <v>44</v>
      </c>
      <c r="D87" s="223" t="s">
        <v>311</v>
      </c>
      <c r="E87" s="205" t="s">
        <v>312</v>
      </c>
      <c r="F87" s="211"/>
      <c r="G87" s="212" t="s">
        <v>313</v>
      </c>
      <c r="H87" s="213"/>
      <c r="I87" s="213"/>
    </row>
    <row r="88" spans="1:9" ht="55.8" thickBot="1">
      <c r="A88" s="208" t="s">
        <v>43</v>
      </c>
      <c r="B88" s="209" t="s">
        <v>314</v>
      </c>
      <c r="C88" s="209" t="s">
        <v>44</v>
      </c>
      <c r="D88" s="223" t="s">
        <v>315</v>
      </c>
      <c r="E88" s="205" t="s">
        <v>316</v>
      </c>
      <c r="F88" s="211"/>
      <c r="G88" s="212" t="s">
        <v>317</v>
      </c>
      <c r="H88" s="213"/>
      <c r="I88" s="213"/>
    </row>
    <row r="89" spans="1:9" ht="55.8" thickBot="1">
      <c r="A89" s="208" t="s">
        <v>43</v>
      </c>
      <c r="B89" s="209" t="s">
        <v>318</v>
      </c>
      <c r="C89" s="209" t="s">
        <v>44</v>
      </c>
      <c r="D89" s="223" t="s">
        <v>319</v>
      </c>
      <c r="E89" s="205" t="s">
        <v>320</v>
      </c>
      <c r="F89" s="211"/>
      <c r="G89" s="212" t="s">
        <v>321</v>
      </c>
      <c r="H89" s="213"/>
      <c r="I89" s="213"/>
    </row>
    <row r="90" spans="1:9" ht="42" thickBot="1">
      <c r="A90" s="208" t="s">
        <v>43</v>
      </c>
      <c r="B90" s="209" t="s">
        <v>322</v>
      </c>
      <c r="C90" s="209" t="s">
        <v>44</v>
      </c>
      <c r="D90" s="223" t="s">
        <v>323</v>
      </c>
      <c r="E90" s="205" t="s">
        <v>324</v>
      </c>
      <c r="F90" s="211"/>
      <c r="G90" s="212" t="s">
        <v>270</v>
      </c>
      <c r="H90" s="213"/>
      <c r="I90" s="213"/>
    </row>
    <row r="91" spans="1:9" ht="55.8" thickBot="1">
      <c r="A91" s="208" t="s">
        <v>43</v>
      </c>
      <c r="B91" s="209" t="s">
        <v>325</v>
      </c>
      <c r="C91" s="209" t="s">
        <v>44</v>
      </c>
      <c r="D91" s="223" t="s">
        <v>326</v>
      </c>
      <c r="E91" s="205" t="s">
        <v>327</v>
      </c>
      <c r="F91" s="211"/>
      <c r="G91" s="212" t="s">
        <v>274</v>
      </c>
      <c r="H91" s="213"/>
      <c r="I91" s="213"/>
    </row>
    <row r="92" spans="1:9" ht="83.4" thickBot="1">
      <c r="A92" s="214" t="s">
        <v>43</v>
      </c>
      <c r="B92" s="215" t="s">
        <v>328</v>
      </c>
      <c r="C92" s="215" t="s">
        <v>44</v>
      </c>
      <c r="D92" s="224" t="s">
        <v>329</v>
      </c>
      <c r="E92" s="205" t="s">
        <v>330</v>
      </c>
      <c r="F92" s="217"/>
      <c r="G92" s="218" t="s">
        <v>331</v>
      </c>
      <c r="H92" s="219"/>
      <c r="I92" s="219"/>
    </row>
    <row r="93" spans="1:9" ht="28.2" thickBot="1">
      <c r="A93" s="203" t="s">
        <v>46</v>
      </c>
      <c r="B93" s="204" t="s">
        <v>332</v>
      </c>
      <c r="C93" s="204" t="s">
        <v>47</v>
      </c>
      <c r="D93" s="225" t="s">
        <v>333</v>
      </c>
      <c r="E93" s="205" t="s">
        <v>334</v>
      </c>
      <c r="F93" s="205"/>
      <c r="G93" s="206" t="s">
        <v>335</v>
      </c>
      <c r="H93" s="207"/>
      <c r="I93" s="207"/>
    </row>
    <row r="94" spans="1:9" ht="28.2" thickBot="1">
      <c r="A94" s="208" t="s">
        <v>46</v>
      </c>
      <c r="B94" s="209" t="s">
        <v>336</v>
      </c>
      <c r="C94" s="209" t="s">
        <v>47</v>
      </c>
      <c r="D94" s="223" t="s">
        <v>337</v>
      </c>
      <c r="E94" s="205" t="s">
        <v>338</v>
      </c>
      <c r="F94" s="211"/>
      <c r="G94" s="212" t="s">
        <v>335</v>
      </c>
      <c r="H94" s="213"/>
      <c r="I94" s="213"/>
    </row>
    <row r="95" spans="1:9" ht="28.2" thickBot="1">
      <c r="A95" s="208" t="s">
        <v>46</v>
      </c>
      <c r="B95" s="209" t="s">
        <v>339</v>
      </c>
      <c r="C95" s="209" t="s">
        <v>47</v>
      </c>
      <c r="D95" s="223" t="s">
        <v>340</v>
      </c>
      <c r="E95" s="205" t="s">
        <v>341</v>
      </c>
      <c r="F95" s="211"/>
      <c r="G95" s="212" t="s">
        <v>335</v>
      </c>
      <c r="H95" s="213"/>
      <c r="I95" s="213"/>
    </row>
    <row r="96" spans="1:9" ht="28.2" thickBot="1">
      <c r="A96" s="214" t="s">
        <v>46</v>
      </c>
      <c r="B96" s="215" t="s">
        <v>342</v>
      </c>
      <c r="C96" s="215" t="s">
        <v>47</v>
      </c>
      <c r="D96" s="224" t="s">
        <v>343</v>
      </c>
      <c r="E96" s="205" t="s">
        <v>344</v>
      </c>
      <c r="F96" s="217"/>
      <c r="G96" s="218" t="s">
        <v>335</v>
      </c>
      <c r="H96" s="219"/>
      <c r="I96" s="219"/>
    </row>
    <row r="97" spans="1:9" ht="138.6" thickBot="1">
      <c r="A97" s="203" t="s">
        <v>49</v>
      </c>
      <c r="B97" s="204" t="s">
        <v>345</v>
      </c>
      <c r="C97" s="226" t="s">
        <v>50</v>
      </c>
      <c r="D97" s="205" t="s">
        <v>346</v>
      </c>
      <c r="E97" s="205" t="s">
        <v>1261</v>
      </c>
      <c r="F97" s="205"/>
      <c r="G97" s="206" t="s">
        <v>347</v>
      </c>
      <c r="H97" s="207"/>
      <c r="I97" s="207"/>
    </row>
    <row r="98" spans="1:9" ht="42" thickBot="1">
      <c r="A98" s="208" t="s">
        <v>49</v>
      </c>
      <c r="B98" s="209" t="s">
        <v>348</v>
      </c>
      <c r="C98" s="209" t="s">
        <v>50</v>
      </c>
      <c r="D98" s="210" t="s">
        <v>349</v>
      </c>
      <c r="E98" s="205" t="s">
        <v>350</v>
      </c>
      <c r="F98" s="211"/>
      <c r="G98" s="212" t="s">
        <v>351</v>
      </c>
      <c r="H98" s="213"/>
      <c r="I98" s="213"/>
    </row>
    <row r="99" spans="1:9" ht="97.2" thickBot="1">
      <c r="A99" s="208" t="s">
        <v>49</v>
      </c>
      <c r="B99" s="209" t="s">
        <v>352</v>
      </c>
      <c r="C99" s="227" t="s">
        <v>50</v>
      </c>
      <c r="D99" s="210" t="s">
        <v>353</v>
      </c>
      <c r="E99" s="205" t="s">
        <v>1262</v>
      </c>
      <c r="F99" s="211"/>
      <c r="G99" s="212" t="s">
        <v>354</v>
      </c>
      <c r="H99" s="213"/>
      <c r="I99" s="213"/>
    </row>
    <row r="100" spans="1:9" ht="42" thickBot="1">
      <c r="A100" s="208" t="s">
        <v>49</v>
      </c>
      <c r="B100" s="209" t="s">
        <v>355</v>
      </c>
      <c r="C100" s="209" t="s">
        <v>50</v>
      </c>
      <c r="D100" s="210" t="s">
        <v>356</v>
      </c>
      <c r="E100" s="205" t="s">
        <v>357</v>
      </c>
      <c r="F100" s="211"/>
      <c r="G100" s="212" t="s">
        <v>351</v>
      </c>
      <c r="H100" s="213"/>
      <c r="I100" s="213"/>
    </row>
    <row r="101" spans="1:9" ht="69.599999999999994" thickBot="1">
      <c r="A101" s="208" t="s">
        <v>49</v>
      </c>
      <c r="B101" s="209" t="s">
        <v>358</v>
      </c>
      <c r="C101" s="227" t="s">
        <v>50</v>
      </c>
      <c r="D101" s="210" t="s">
        <v>359</v>
      </c>
      <c r="E101" s="205" t="s">
        <v>1263</v>
      </c>
      <c r="F101" s="211"/>
      <c r="G101" s="212" t="s">
        <v>360</v>
      </c>
      <c r="H101" s="213"/>
      <c r="I101" s="213"/>
    </row>
    <row r="102" spans="1:9" ht="55.8" thickBot="1">
      <c r="A102" s="208" t="s">
        <v>49</v>
      </c>
      <c r="B102" s="209" t="s">
        <v>361</v>
      </c>
      <c r="C102" s="227" t="s">
        <v>50</v>
      </c>
      <c r="D102" s="210" t="s">
        <v>362</v>
      </c>
      <c r="E102" s="205" t="s">
        <v>1264</v>
      </c>
      <c r="F102" s="211"/>
      <c r="G102" s="212" t="s">
        <v>363</v>
      </c>
      <c r="H102" s="213"/>
      <c r="I102" s="213"/>
    </row>
    <row r="103" spans="1:9" ht="83.4" thickBot="1">
      <c r="A103" s="208" t="s">
        <v>49</v>
      </c>
      <c r="B103" s="209" t="s">
        <v>364</v>
      </c>
      <c r="C103" s="227" t="s">
        <v>50</v>
      </c>
      <c r="D103" s="210" t="s">
        <v>365</v>
      </c>
      <c r="E103" s="205" t="s">
        <v>1265</v>
      </c>
      <c r="F103" s="211"/>
      <c r="G103" s="212" t="s">
        <v>366</v>
      </c>
      <c r="H103" s="213"/>
      <c r="I103" s="213"/>
    </row>
    <row r="104" spans="1:9" ht="42" thickBot="1">
      <c r="A104" s="208" t="s">
        <v>49</v>
      </c>
      <c r="B104" s="209" t="s">
        <v>367</v>
      </c>
      <c r="C104" s="227" t="s">
        <v>50</v>
      </c>
      <c r="D104" s="210" t="s">
        <v>368</v>
      </c>
      <c r="E104" s="205" t="s">
        <v>1266</v>
      </c>
      <c r="F104" s="211"/>
      <c r="G104" s="212" t="s">
        <v>369</v>
      </c>
      <c r="H104" s="213"/>
      <c r="I104" s="213"/>
    </row>
    <row r="105" spans="1:9" ht="42" thickBot="1">
      <c r="A105" s="208" t="s">
        <v>49</v>
      </c>
      <c r="B105" s="209" t="s">
        <v>370</v>
      </c>
      <c r="C105" s="227" t="s">
        <v>50</v>
      </c>
      <c r="D105" s="210" t="s">
        <v>371</v>
      </c>
      <c r="E105" s="205" t="s">
        <v>1267</v>
      </c>
      <c r="F105" s="211"/>
      <c r="G105" s="212" t="s">
        <v>372</v>
      </c>
      <c r="H105" s="213"/>
      <c r="I105" s="213"/>
    </row>
    <row r="106" spans="1:9" ht="124.8" thickBot="1">
      <c r="A106" s="208" t="s">
        <v>49</v>
      </c>
      <c r="B106" s="209" t="s">
        <v>373</v>
      </c>
      <c r="C106" s="227" t="s">
        <v>52</v>
      </c>
      <c r="D106" s="210" t="s">
        <v>374</v>
      </c>
      <c r="E106" s="205" t="s">
        <v>1268</v>
      </c>
      <c r="F106" s="211"/>
      <c r="G106" s="212" t="s">
        <v>375</v>
      </c>
      <c r="H106" s="213"/>
      <c r="I106" s="213"/>
    </row>
    <row r="107" spans="1:9" ht="42" thickBot="1">
      <c r="A107" s="208" t="s">
        <v>49</v>
      </c>
      <c r="B107" s="209" t="s">
        <v>376</v>
      </c>
      <c r="C107" s="209" t="s">
        <v>52</v>
      </c>
      <c r="D107" s="210" t="s">
        <v>377</v>
      </c>
      <c r="E107" s="205" t="s">
        <v>378</v>
      </c>
      <c r="F107" s="211"/>
      <c r="G107" s="212" t="s">
        <v>351</v>
      </c>
      <c r="H107" s="213"/>
      <c r="I107" s="213"/>
    </row>
    <row r="108" spans="1:9" ht="124.8" thickBot="1">
      <c r="A108" s="208" t="s">
        <v>49</v>
      </c>
      <c r="B108" s="209" t="s">
        <v>379</v>
      </c>
      <c r="C108" s="209" t="s">
        <v>52</v>
      </c>
      <c r="D108" s="210" t="s">
        <v>380</v>
      </c>
      <c r="E108" s="205" t="s">
        <v>1269</v>
      </c>
      <c r="F108" s="211"/>
      <c r="G108" s="212" t="s">
        <v>381</v>
      </c>
      <c r="H108" s="213"/>
      <c r="I108" s="213"/>
    </row>
    <row r="109" spans="1:9" ht="97.2" thickBot="1">
      <c r="A109" s="208" t="s">
        <v>49</v>
      </c>
      <c r="B109" s="209" t="s">
        <v>382</v>
      </c>
      <c r="C109" s="227" t="s">
        <v>52</v>
      </c>
      <c r="D109" s="210" t="s">
        <v>383</v>
      </c>
      <c r="E109" s="205" t="s">
        <v>1270</v>
      </c>
      <c r="F109" s="211"/>
      <c r="G109" s="212" t="s">
        <v>384</v>
      </c>
      <c r="H109" s="213"/>
      <c r="I109" s="213"/>
    </row>
    <row r="110" spans="1:9" ht="69.599999999999994" thickBot="1">
      <c r="A110" s="208" t="s">
        <v>49</v>
      </c>
      <c r="B110" s="209" t="s">
        <v>385</v>
      </c>
      <c r="C110" s="227" t="s">
        <v>52</v>
      </c>
      <c r="D110" s="210" t="s">
        <v>386</v>
      </c>
      <c r="E110" s="205" t="s">
        <v>1271</v>
      </c>
      <c r="F110" s="211"/>
      <c r="G110" s="212" t="s">
        <v>387</v>
      </c>
      <c r="H110" s="213"/>
      <c r="I110" s="213"/>
    </row>
    <row r="111" spans="1:9" ht="83.4" thickBot="1">
      <c r="A111" s="208" t="s">
        <v>49</v>
      </c>
      <c r="B111" s="209" t="s">
        <v>388</v>
      </c>
      <c r="C111" s="227" t="s">
        <v>52</v>
      </c>
      <c r="D111" s="210" t="s">
        <v>389</v>
      </c>
      <c r="E111" s="205" t="s">
        <v>1272</v>
      </c>
      <c r="F111" s="211"/>
      <c r="G111" s="212" t="s">
        <v>390</v>
      </c>
      <c r="H111" s="213"/>
      <c r="I111" s="213"/>
    </row>
    <row r="112" spans="1:9" ht="97.2" thickBot="1">
      <c r="A112" s="208" t="s">
        <v>49</v>
      </c>
      <c r="B112" s="209" t="s">
        <v>391</v>
      </c>
      <c r="C112" s="227" t="s">
        <v>52</v>
      </c>
      <c r="D112" s="210" t="s">
        <v>392</v>
      </c>
      <c r="E112" s="205" t="s">
        <v>1273</v>
      </c>
      <c r="F112" s="211"/>
      <c r="G112" s="212" t="s">
        <v>393</v>
      </c>
      <c r="H112" s="213"/>
      <c r="I112" s="213"/>
    </row>
    <row r="113" spans="1:9" ht="69.599999999999994" thickBot="1">
      <c r="A113" s="208" t="s">
        <v>49</v>
      </c>
      <c r="B113" s="209" t="s">
        <v>394</v>
      </c>
      <c r="C113" s="228" t="s">
        <v>52</v>
      </c>
      <c r="D113" s="210" t="s">
        <v>395</v>
      </c>
      <c r="E113" s="205" t="s">
        <v>396</v>
      </c>
      <c r="F113" s="211"/>
      <c r="G113" s="212" t="s">
        <v>397</v>
      </c>
      <c r="H113" s="213"/>
      <c r="I113" s="213"/>
    </row>
    <row r="114" spans="1:9" ht="124.8" thickBot="1">
      <c r="A114" s="208" t="s">
        <v>49</v>
      </c>
      <c r="B114" s="209" t="s">
        <v>398</v>
      </c>
      <c r="C114" s="227" t="s">
        <v>54</v>
      </c>
      <c r="D114" s="210" t="s">
        <v>399</v>
      </c>
      <c r="E114" s="205" t="s">
        <v>1274</v>
      </c>
      <c r="F114" s="211"/>
      <c r="G114" s="212" t="s">
        <v>400</v>
      </c>
      <c r="H114" s="213"/>
      <c r="I114" s="213"/>
    </row>
    <row r="115" spans="1:9" ht="166.2" thickBot="1">
      <c r="A115" s="208" t="s">
        <v>49</v>
      </c>
      <c r="B115" s="209" t="s">
        <v>401</v>
      </c>
      <c r="C115" s="227" t="s">
        <v>54</v>
      </c>
      <c r="D115" s="210" t="s">
        <v>1275</v>
      </c>
      <c r="E115" s="205" t="s">
        <v>1276</v>
      </c>
      <c r="F115" s="211"/>
      <c r="G115" s="212" t="s">
        <v>402</v>
      </c>
      <c r="H115" s="213"/>
      <c r="I115" s="213"/>
    </row>
    <row r="116" spans="1:9" ht="166.2" thickBot="1">
      <c r="A116" s="208" t="s">
        <v>49</v>
      </c>
      <c r="B116" s="209" t="s">
        <v>403</v>
      </c>
      <c r="C116" s="227" t="s">
        <v>54</v>
      </c>
      <c r="D116" s="210" t="s">
        <v>1277</v>
      </c>
      <c r="E116" s="205" t="s">
        <v>1278</v>
      </c>
      <c r="F116" s="211"/>
      <c r="G116" s="212" t="s">
        <v>402</v>
      </c>
      <c r="H116" s="213"/>
      <c r="I116" s="213"/>
    </row>
    <row r="117" spans="1:9" ht="180" thickBot="1">
      <c r="A117" s="208" t="s">
        <v>49</v>
      </c>
      <c r="B117" s="209" t="s">
        <v>404</v>
      </c>
      <c r="C117" s="227" t="s">
        <v>54</v>
      </c>
      <c r="D117" s="210" t="s">
        <v>1279</v>
      </c>
      <c r="E117" s="205" t="s">
        <v>1280</v>
      </c>
      <c r="F117" s="211"/>
      <c r="G117" s="212" t="s">
        <v>402</v>
      </c>
      <c r="H117" s="213"/>
      <c r="I117" s="213"/>
    </row>
    <row r="118" spans="1:9" ht="180" thickBot="1">
      <c r="A118" s="208" t="s">
        <v>49</v>
      </c>
      <c r="B118" s="209" t="s">
        <v>405</v>
      </c>
      <c r="C118" s="227" t="s">
        <v>54</v>
      </c>
      <c r="D118" s="210" t="s">
        <v>1281</v>
      </c>
      <c r="E118" s="205" t="s">
        <v>1282</v>
      </c>
      <c r="F118" s="211"/>
      <c r="G118" s="212" t="s">
        <v>402</v>
      </c>
      <c r="H118" s="213"/>
      <c r="I118" s="213"/>
    </row>
    <row r="119" spans="1:9" ht="166.2" thickBot="1">
      <c r="A119" s="208" t="s">
        <v>49</v>
      </c>
      <c r="B119" s="209" t="s">
        <v>406</v>
      </c>
      <c r="C119" s="227" t="s">
        <v>54</v>
      </c>
      <c r="D119" s="210" t="s">
        <v>407</v>
      </c>
      <c r="E119" s="205" t="s">
        <v>1283</v>
      </c>
      <c r="F119" s="211"/>
      <c r="G119" s="212" t="s">
        <v>402</v>
      </c>
      <c r="H119" s="213"/>
      <c r="I119" s="213"/>
    </row>
    <row r="120" spans="1:9" ht="207.6" thickBot="1">
      <c r="A120" s="208" t="s">
        <v>49</v>
      </c>
      <c r="B120" s="209" t="s">
        <v>408</v>
      </c>
      <c r="C120" s="227" t="s">
        <v>54</v>
      </c>
      <c r="D120" s="210" t="s">
        <v>409</v>
      </c>
      <c r="E120" s="205" t="s">
        <v>1284</v>
      </c>
      <c r="F120" s="211"/>
      <c r="G120" s="229" t="s">
        <v>402</v>
      </c>
      <c r="H120" s="213"/>
      <c r="I120" s="213"/>
    </row>
    <row r="121" spans="1:9" ht="221.4" thickBot="1">
      <c r="A121" s="208" t="s">
        <v>49</v>
      </c>
      <c r="B121" s="209" t="s">
        <v>410</v>
      </c>
      <c r="C121" s="227" t="s">
        <v>54</v>
      </c>
      <c r="D121" s="210" t="s">
        <v>411</v>
      </c>
      <c r="E121" s="205" t="s">
        <v>1285</v>
      </c>
      <c r="F121" s="211"/>
      <c r="G121" s="212" t="s">
        <v>412</v>
      </c>
      <c r="H121" s="213"/>
      <c r="I121" s="213"/>
    </row>
    <row r="122" spans="1:9" ht="221.4" thickBot="1">
      <c r="A122" s="208" t="s">
        <v>49</v>
      </c>
      <c r="B122" s="209" t="s">
        <v>413</v>
      </c>
      <c r="C122" s="227" t="s">
        <v>54</v>
      </c>
      <c r="D122" s="210" t="s">
        <v>414</v>
      </c>
      <c r="E122" s="205" t="s">
        <v>1286</v>
      </c>
      <c r="F122" s="211"/>
      <c r="G122" s="212" t="s">
        <v>412</v>
      </c>
      <c r="H122" s="213"/>
      <c r="I122" s="213"/>
    </row>
    <row r="123" spans="1:9" ht="221.4" thickBot="1">
      <c r="A123" s="208" t="s">
        <v>49</v>
      </c>
      <c r="B123" s="209" t="s">
        <v>415</v>
      </c>
      <c r="C123" s="227" t="s">
        <v>54</v>
      </c>
      <c r="D123" s="210" t="s">
        <v>416</v>
      </c>
      <c r="E123" s="205" t="s">
        <v>1287</v>
      </c>
      <c r="F123" s="211"/>
      <c r="G123" s="212" t="s">
        <v>402</v>
      </c>
      <c r="H123" s="213"/>
      <c r="I123" s="213"/>
    </row>
    <row r="124" spans="1:9" s="230" customFormat="1" ht="111" thickBot="1">
      <c r="A124" s="208" t="s">
        <v>49</v>
      </c>
      <c r="B124" s="209" t="s">
        <v>417</v>
      </c>
      <c r="C124" s="227" t="s">
        <v>54</v>
      </c>
      <c r="D124" s="210" t="s">
        <v>1176</v>
      </c>
      <c r="E124" s="205" t="s">
        <v>418</v>
      </c>
      <c r="F124" s="211"/>
      <c r="G124" s="212" t="s">
        <v>400</v>
      </c>
      <c r="H124" s="213"/>
      <c r="I124" s="213"/>
    </row>
    <row r="125" spans="1:9" ht="193.8" thickBot="1">
      <c r="A125" s="208" t="s">
        <v>49</v>
      </c>
      <c r="B125" s="209" t="s">
        <v>419</v>
      </c>
      <c r="C125" s="227" t="s">
        <v>56</v>
      </c>
      <c r="D125" s="210" t="s">
        <v>420</v>
      </c>
      <c r="E125" s="205" t="s">
        <v>1288</v>
      </c>
      <c r="F125" s="211"/>
      <c r="G125" s="212" t="s">
        <v>421</v>
      </c>
      <c r="H125" s="213"/>
      <c r="I125" s="213"/>
    </row>
    <row r="126" spans="1:9" ht="42" thickBot="1">
      <c r="A126" s="208" t="s">
        <v>49</v>
      </c>
      <c r="B126" s="209" t="s">
        <v>422</v>
      </c>
      <c r="C126" s="227" t="s">
        <v>56</v>
      </c>
      <c r="D126" s="210" t="s">
        <v>423</v>
      </c>
      <c r="E126" s="205" t="s">
        <v>424</v>
      </c>
      <c r="F126" s="211"/>
      <c r="G126" s="212" t="s">
        <v>351</v>
      </c>
      <c r="H126" s="213"/>
      <c r="I126" s="213"/>
    </row>
    <row r="127" spans="1:9" ht="124.8" thickBot="1">
      <c r="A127" s="208" t="s">
        <v>49</v>
      </c>
      <c r="B127" s="209" t="s">
        <v>425</v>
      </c>
      <c r="C127" s="227" t="s">
        <v>56</v>
      </c>
      <c r="D127" s="210" t="s">
        <v>426</v>
      </c>
      <c r="E127" s="205" t="s">
        <v>1289</v>
      </c>
      <c r="F127" s="211"/>
      <c r="G127" s="229" t="s">
        <v>427</v>
      </c>
      <c r="H127" s="213"/>
      <c r="I127" s="213"/>
    </row>
    <row r="128" spans="1:9" ht="97.2" thickBot="1">
      <c r="A128" s="208" t="s">
        <v>49</v>
      </c>
      <c r="B128" s="209" t="s">
        <v>428</v>
      </c>
      <c r="C128" s="227" t="s">
        <v>56</v>
      </c>
      <c r="D128" s="210" t="s">
        <v>429</v>
      </c>
      <c r="E128" s="205" t="s">
        <v>1290</v>
      </c>
      <c r="F128" s="211"/>
      <c r="G128" s="212" t="s">
        <v>430</v>
      </c>
      <c r="H128" s="213"/>
      <c r="I128" s="213"/>
    </row>
    <row r="129" spans="1:9" ht="83.4" thickBot="1">
      <c r="A129" s="208" t="s">
        <v>49</v>
      </c>
      <c r="B129" s="209" t="s">
        <v>431</v>
      </c>
      <c r="C129" s="227" t="s">
        <v>56</v>
      </c>
      <c r="D129" s="210" t="s">
        <v>432</v>
      </c>
      <c r="E129" s="205" t="s">
        <v>1291</v>
      </c>
      <c r="F129" s="211"/>
      <c r="G129" s="212" t="s">
        <v>433</v>
      </c>
      <c r="H129" s="213"/>
      <c r="I129" s="213"/>
    </row>
    <row r="130" spans="1:9" ht="83.4" thickBot="1">
      <c r="A130" s="208" t="s">
        <v>49</v>
      </c>
      <c r="B130" s="209" t="s">
        <v>434</v>
      </c>
      <c r="C130" s="227" t="s">
        <v>56</v>
      </c>
      <c r="D130" s="210" t="s">
        <v>435</v>
      </c>
      <c r="E130" s="205" t="s">
        <v>1292</v>
      </c>
      <c r="F130" s="211"/>
      <c r="G130" s="212" t="s">
        <v>436</v>
      </c>
      <c r="H130" s="213"/>
      <c r="I130" s="213"/>
    </row>
    <row r="131" spans="1:9" ht="83.4" thickBot="1">
      <c r="A131" s="208" t="s">
        <v>49</v>
      </c>
      <c r="B131" s="209" t="s">
        <v>437</v>
      </c>
      <c r="C131" s="227" t="s">
        <v>56</v>
      </c>
      <c r="D131" s="210" t="s">
        <v>1293</v>
      </c>
      <c r="E131" s="205" t="s">
        <v>1294</v>
      </c>
      <c r="F131" s="211"/>
      <c r="G131" s="212" t="s">
        <v>438</v>
      </c>
      <c r="H131" s="213"/>
      <c r="I131" s="213"/>
    </row>
    <row r="132" spans="1:9" ht="152.4" thickBot="1">
      <c r="A132" s="208" t="s">
        <v>49</v>
      </c>
      <c r="B132" s="209" t="s">
        <v>439</v>
      </c>
      <c r="C132" s="227" t="s">
        <v>56</v>
      </c>
      <c r="D132" s="210" t="s">
        <v>1295</v>
      </c>
      <c r="E132" s="205" t="s">
        <v>1296</v>
      </c>
      <c r="F132" s="211"/>
      <c r="G132" s="212" t="s">
        <v>440</v>
      </c>
      <c r="H132" s="213"/>
      <c r="I132" s="213"/>
    </row>
    <row r="133" spans="1:9" ht="69.599999999999994" thickBot="1">
      <c r="A133" s="208" t="s">
        <v>49</v>
      </c>
      <c r="B133" s="209" t="s">
        <v>441</v>
      </c>
      <c r="C133" s="227" t="s">
        <v>56</v>
      </c>
      <c r="D133" s="210" t="s">
        <v>442</v>
      </c>
      <c r="E133" s="205" t="s">
        <v>1297</v>
      </c>
      <c r="F133" s="211"/>
      <c r="G133" s="212" t="s">
        <v>443</v>
      </c>
      <c r="H133" s="213"/>
      <c r="I133" s="213"/>
    </row>
    <row r="134" spans="1:9" ht="152.4" thickBot="1">
      <c r="A134" s="208" t="s">
        <v>49</v>
      </c>
      <c r="B134" s="209" t="s">
        <v>444</v>
      </c>
      <c r="C134" s="227" t="s">
        <v>56</v>
      </c>
      <c r="D134" s="210" t="s">
        <v>1298</v>
      </c>
      <c r="E134" s="205" t="s">
        <v>1299</v>
      </c>
      <c r="F134" s="211"/>
      <c r="G134" s="212" t="s">
        <v>445</v>
      </c>
      <c r="H134" s="213"/>
      <c r="I134" s="213"/>
    </row>
    <row r="135" spans="1:9" ht="69.599999999999994" thickBot="1">
      <c r="A135" s="208" t="s">
        <v>49</v>
      </c>
      <c r="B135" s="209" t="s">
        <v>446</v>
      </c>
      <c r="C135" s="227" t="s">
        <v>56</v>
      </c>
      <c r="D135" s="210" t="s">
        <v>447</v>
      </c>
      <c r="E135" s="205" t="s">
        <v>448</v>
      </c>
      <c r="F135" s="211"/>
      <c r="G135" s="212" t="s">
        <v>449</v>
      </c>
      <c r="H135" s="213"/>
      <c r="I135" s="213"/>
    </row>
    <row r="136" spans="1:9" ht="83.4" thickBot="1">
      <c r="A136" s="208" t="s">
        <v>49</v>
      </c>
      <c r="B136" s="209" t="s">
        <v>450</v>
      </c>
      <c r="C136" s="227" t="s">
        <v>56</v>
      </c>
      <c r="D136" s="210" t="s">
        <v>451</v>
      </c>
      <c r="E136" s="205" t="s">
        <v>1300</v>
      </c>
      <c r="F136" s="211"/>
      <c r="G136" s="212" t="s">
        <v>452</v>
      </c>
      <c r="H136" s="213"/>
      <c r="I136" s="213"/>
    </row>
    <row r="137" spans="1:9" ht="97.2" thickBot="1">
      <c r="A137" s="208" t="s">
        <v>49</v>
      </c>
      <c r="B137" s="209" t="s">
        <v>453</v>
      </c>
      <c r="C137" s="227" t="s">
        <v>56</v>
      </c>
      <c r="D137" s="210" t="s">
        <v>454</v>
      </c>
      <c r="E137" s="205" t="s">
        <v>1301</v>
      </c>
      <c r="F137" s="211"/>
      <c r="G137" s="212" t="s">
        <v>455</v>
      </c>
      <c r="H137" s="213"/>
      <c r="I137" s="213"/>
    </row>
    <row r="138" spans="1:9" ht="97.2" thickBot="1">
      <c r="A138" s="208" t="s">
        <v>49</v>
      </c>
      <c r="B138" s="209" t="s">
        <v>456</v>
      </c>
      <c r="C138" s="227" t="s">
        <v>58</v>
      </c>
      <c r="D138" s="210" t="s">
        <v>457</v>
      </c>
      <c r="E138" s="205" t="s">
        <v>1302</v>
      </c>
      <c r="F138" s="211"/>
      <c r="G138" s="212" t="s">
        <v>458</v>
      </c>
      <c r="H138" s="213"/>
      <c r="I138" s="213"/>
    </row>
    <row r="139" spans="1:9" s="230" customFormat="1" ht="69.599999999999994" thickBot="1">
      <c r="A139" s="208" t="s">
        <v>49</v>
      </c>
      <c r="B139" s="209" t="s">
        <v>459</v>
      </c>
      <c r="C139" s="227" t="s">
        <v>58</v>
      </c>
      <c r="D139" s="210" t="s">
        <v>460</v>
      </c>
      <c r="E139" s="205" t="s">
        <v>1303</v>
      </c>
      <c r="F139" s="211"/>
      <c r="G139" s="212" t="s">
        <v>461</v>
      </c>
      <c r="H139" s="213"/>
      <c r="I139" s="213"/>
    </row>
    <row r="140" spans="1:9" ht="55.8" thickBot="1">
      <c r="A140" s="208" t="s">
        <v>49</v>
      </c>
      <c r="B140" s="209" t="s">
        <v>462</v>
      </c>
      <c r="C140" s="227" t="s">
        <v>41</v>
      </c>
      <c r="D140" s="210" t="s">
        <v>259</v>
      </c>
      <c r="E140" s="205" t="s">
        <v>463</v>
      </c>
      <c r="F140" s="211"/>
      <c r="G140" s="212" t="s">
        <v>257</v>
      </c>
      <c r="H140" s="213"/>
      <c r="I140" s="213"/>
    </row>
    <row r="141" spans="1:9" ht="55.8" thickBot="1">
      <c r="A141" s="208" t="s">
        <v>49</v>
      </c>
      <c r="B141" s="209" t="s">
        <v>464</v>
      </c>
      <c r="C141" s="227" t="s">
        <v>41</v>
      </c>
      <c r="D141" s="210" t="s">
        <v>265</v>
      </c>
      <c r="E141" s="205" t="s">
        <v>465</v>
      </c>
      <c r="F141" s="211"/>
      <c r="G141" s="212" t="s">
        <v>257</v>
      </c>
      <c r="H141" s="213"/>
      <c r="I141" s="213"/>
    </row>
    <row r="142" spans="1:9" ht="111" thickBot="1">
      <c r="A142" s="208" t="s">
        <v>49</v>
      </c>
      <c r="B142" s="209" t="s">
        <v>466</v>
      </c>
      <c r="C142" s="227" t="s">
        <v>61</v>
      </c>
      <c r="D142" s="210" t="s">
        <v>467</v>
      </c>
      <c r="E142" s="205" t="s">
        <v>468</v>
      </c>
      <c r="F142" s="211"/>
      <c r="G142" s="212" t="s">
        <v>469</v>
      </c>
      <c r="H142" s="213"/>
      <c r="I142" s="213"/>
    </row>
    <row r="143" spans="1:9" ht="152.4" thickBot="1">
      <c r="A143" s="208" t="s">
        <v>63</v>
      </c>
      <c r="B143" s="209" t="s">
        <v>470</v>
      </c>
      <c r="C143" s="227" t="s">
        <v>64</v>
      </c>
      <c r="D143" s="210" t="s">
        <v>471</v>
      </c>
      <c r="E143" s="205" t="s">
        <v>472</v>
      </c>
      <c r="F143" s="211"/>
      <c r="G143" s="229" t="s">
        <v>473</v>
      </c>
      <c r="H143" s="213"/>
      <c r="I143" s="213"/>
    </row>
    <row r="144" spans="1:9" ht="124.8" thickBot="1">
      <c r="A144" s="214" t="s">
        <v>49</v>
      </c>
      <c r="B144" s="215" t="s">
        <v>474</v>
      </c>
      <c r="C144" s="231" t="s">
        <v>64</v>
      </c>
      <c r="D144" s="216" t="s">
        <v>475</v>
      </c>
      <c r="E144" s="205" t="s">
        <v>1304</v>
      </c>
      <c r="F144" s="217"/>
      <c r="G144" s="218" t="s">
        <v>476</v>
      </c>
      <c r="H144" s="219"/>
      <c r="I144" s="219"/>
    </row>
    <row r="145" spans="1:9" ht="55.8" thickBot="1">
      <c r="A145" s="203" t="s">
        <v>66</v>
      </c>
      <c r="B145" s="204" t="s">
        <v>477</v>
      </c>
      <c r="C145" s="204" t="s">
        <v>67</v>
      </c>
      <c r="D145" s="232" t="s">
        <v>478</v>
      </c>
      <c r="E145" s="205" t="s">
        <v>479</v>
      </c>
      <c r="F145" s="205"/>
      <c r="G145" s="233" t="s">
        <v>480</v>
      </c>
      <c r="H145" s="207"/>
      <c r="I145" s="207"/>
    </row>
    <row r="146" spans="1:9" ht="69.599999999999994" thickBot="1">
      <c r="A146" s="208" t="s">
        <v>66</v>
      </c>
      <c r="B146" s="209" t="s">
        <v>481</v>
      </c>
      <c r="C146" s="209" t="s">
        <v>67</v>
      </c>
      <c r="D146" s="234" t="s">
        <v>1305</v>
      </c>
      <c r="E146" s="205" t="s">
        <v>482</v>
      </c>
      <c r="F146" s="211"/>
      <c r="G146" s="229" t="s">
        <v>483</v>
      </c>
      <c r="H146" s="213"/>
      <c r="I146" s="213"/>
    </row>
    <row r="147" spans="1:9" ht="83.4" thickBot="1">
      <c r="A147" s="208" t="s">
        <v>66</v>
      </c>
      <c r="B147" s="209" t="s">
        <v>484</v>
      </c>
      <c r="C147" s="209" t="s">
        <v>67</v>
      </c>
      <c r="D147" s="234" t="s">
        <v>485</v>
      </c>
      <c r="E147" s="205" t="s">
        <v>486</v>
      </c>
      <c r="F147" s="211"/>
      <c r="G147" s="229" t="s">
        <v>487</v>
      </c>
      <c r="H147" s="213"/>
      <c r="I147" s="213"/>
    </row>
    <row r="148" spans="1:9" ht="55.8" thickBot="1">
      <c r="A148" s="208" t="s">
        <v>66</v>
      </c>
      <c r="B148" s="209" t="s">
        <v>488</v>
      </c>
      <c r="C148" s="209" t="s">
        <v>67</v>
      </c>
      <c r="D148" s="234" t="s">
        <v>489</v>
      </c>
      <c r="E148" s="205" t="s">
        <v>490</v>
      </c>
      <c r="F148" s="211"/>
      <c r="G148" s="229" t="s">
        <v>491</v>
      </c>
      <c r="H148" s="213"/>
      <c r="I148" s="213"/>
    </row>
    <row r="149" spans="1:9" ht="69.599999999999994" thickBot="1">
      <c r="A149" s="208" t="s">
        <v>66</v>
      </c>
      <c r="B149" s="209" t="s">
        <v>492</v>
      </c>
      <c r="C149" s="209" t="s">
        <v>67</v>
      </c>
      <c r="D149" s="234" t="s">
        <v>493</v>
      </c>
      <c r="E149" s="205" t="s">
        <v>494</v>
      </c>
      <c r="F149" s="211"/>
      <c r="G149" s="229" t="s">
        <v>495</v>
      </c>
      <c r="H149" s="213"/>
      <c r="I149" s="213"/>
    </row>
    <row r="150" spans="1:9" ht="42" thickBot="1">
      <c r="A150" s="208" t="s">
        <v>66</v>
      </c>
      <c r="B150" s="209" t="s">
        <v>496</v>
      </c>
      <c r="C150" s="209" t="s">
        <v>67</v>
      </c>
      <c r="D150" s="234" t="s">
        <v>497</v>
      </c>
      <c r="E150" s="205" t="s">
        <v>1306</v>
      </c>
      <c r="F150" s="211"/>
      <c r="G150" s="229" t="s">
        <v>498</v>
      </c>
      <c r="H150" s="213"/>
      <c r="I150" s="213"/>
    </row>
    <row r="151" spans="1:9" ht="42" thickBot="1">
      <c r="A151" s="208" t="s">
        <v>66</v>
      </c>
      <c r="B151" s="209" t="s">
        <v>499</v>
      </c>
      <c r="C151" s="209" t="s">
        <v>67</v>
      </c>
      <c r="D151" s="234" t="s">
        <v>500</v>
      </c>
      <c r="E151" s="205" t="s">
        <v>501</v>
      </c>
      <c r="F151" s="211"/>
      <c r="G151" s="229" t="s">
        <v>498</v>
      </c>
      <c r="H151" s="213"/>
      <c r="I151" s="213"/>
    </row>
    <row r="152" spans="1:9" ht="28.2" thickBot="1">
      <c r="A152" s="208" t="s">
        <v>66</v>
      </c>
      <c r="B152" s="209" t="s">
        <v>502</v>
      </c>
      <c r="C152" s="209" t="s">
        <v>67</v>
      </c>
      <c r="D152" s="234" t="s">
        <v>503</v>
      </c>
      <c r="E152" s="205" t="s">
        <v>504</v>
      </c>
      <c r="F152" s="211"/>
      <c r="G152" s="229" t="s">
        <v>498</v>
      </c>
      <c r="H152" s="213"/>
      <c r="I152" s="213"/>
    </row>
    <row r="153" spans="1:9" ht="55.8" thickBot="1">
      <c r="A153" s="208" t="s">
        <v>66</v>
      </c>
      <c r="B153" s="209" t="s">
        <v>505</v>
      </c>
      <c r="C153" s="209" t="s">
        <v>506</v>
      </c>
      <c r="D153" s="234" t="s">
        <v>1178</v>
      </c>
      <c r="E153" s="205" t="s">
        <v>508</v>
      </c>
      <c r="F153" s="211"/>
      <c r="G153" s="229" t="s">
        <v>498</v>
      </c>
      <c r="H153" s="213"/>
      <c r="I153" s="213"/>
    </row>
    <row r="154" spans="1:9" ht="69.599999999999994" thickBot="1">
      <c r="A154" s="208" t="s">
        <v>66</v>
      </c>
      <c r="B154" s="209" t="s">
        <v>509</v>
      </c>
      <c r="C154" s="209" t="s">
        <v>67</v>
      </c>
      <c r="D154" s="234" t="s">
        <v>510</v>
      </c>
      <c r="E154" s="205" t="s">
        <v>1307</v>
      </c>
      <c r="F154" s="211"/>
      <c r="G154" s="229" t="s">
        <v>511</v>
      </c>
      <c r="H154" s="213"/>
      <c r="I154" s="213"/>
    </row>
    <row r="155" spans="1:9" ht="55.8" thickBot="1">
      <c r="A155" s="208" t="s">
        <v>66</v>
      </c>
      <c r="B155" s="209" t="s">
        <v>512</v>
      </c>
      <c r="C155" s="209" t="s">
        <v>67</v>
      </c>
      <c r="D155" s="234" t="s">
        <v>513</v>
      </c>
      <c r="E155" s="205" t="s">
        <v>514</v>
      </c>
      <c r="F155" s="211"/>
      <c r="G155" s="229" t="s">
        <v>515</v>
      </c>
      <c r="H155" s="213"/>
      <c r="I155" s="213"/>
    </row>
    <row r="156" spans="1:9" ht="28.2" thickBot="1">
      <c r="A156" s="208" t="s">
        <v>66</v>
      </c>
      <c r="B156" s="209" t="s">
        <v>516</v>
      </c>
      <c r="C156" s="209" t="s">
        <v>67</v>
      </c>
      <c r="D156" s="234" t="s">
        <v>517</v>
      </c>
      <c r="E156" s="205" t="s">
        <v>1308</v>
      </c>
      <c r="F156" s="211"/>
      <c r="G156" s="229" t="s">
        <v>518</v>
      </c>
      <c r="H156" s="213"/>
      <c r="I156" s="213"/>
    </row>
    <row r="157" spans="1:9" ht="42" thickBot="1">
      <c r="A157" s="208" t="s">
        <v>66</v>
      </c>
      <c r="B157" s="209" t="s">
        <v>519</v>
      </c>
      <c r="C157" s="209" t="s">
        <v>67</v>
      </c>
      <c r="D157" s="234" t="s">
        <v>1309</v>
      </c>
      <c r="E157" s="205" t="s">
        <v>1310</v>
      </c>
      <c r="F157" s="211"/>
      <c r="G157" s="229" t="s">
        <v>520</v>
      </c>
      <c r="H157" s="213"/>
      <c r="I157" s="213"/>
    </row>
    <row r="158" spans="1:9" ht="42" thickBot="1">
      <c r="A158" s="208" t="s">
        <v>66</v>
      </c>
      <c r="B158" s="209" t="s">
        <v>521</v>
      </c>
      <c r="C158" s="209" t="s">
        <v>67</v>
      </c>
      <c r="D158" s="234" t="s">
        <v>1311</v>
      </c>
      <c r="E158" s="205" t="s">
        <v>1312</v>
      </c>
      <c r="F158" s="211"/>
      <c r="G158" s="229" t="s">
        <v>520</v>
      </c>
      <c r="H158" s="213"/>
      <c r="I158" s="213"/>
    </row>
    <row r="159" spans="1:9" ht="124.8" thickBot="1">
      <c r="A159" s="208" t="s">
        <v>66</v>
      </c>
      <c r="B159" s="209" t="s">
        <v>522</v>
      </c>
      <c r="C159" s="209" t="s">
        <v>67</v>
      </c>
      <c r="D159" s="234" t="s">
        <v>523</v>
      </c>
      <c r="E159" s="205" t="s">
        <v>1313</v>
      </c>
      <c r="F159" s="211"/>
      <c r="G159" s="229" t="s">
        <v>524</v>
      </c>
      <c r="H159" s="213"/>
      <c r="I159" s="213"/>
    </row>
    <row r="160" spans="1:9" ht="138.6" thickBot="1">
      <c r="A160" s="208" t="s">
        <v>66</v>
      </c>
      <c r="B160" s="209" t="s">
        <v>525</v>
      </c>
      <c r="C160" s="209" t="s">
        <v>67</v>
      </c>
      <c r="D160" s="234" t="s">
        <v>526</v>
      </c>
      <c r="E160" s="205" t="s">
        <v>1314</v>
      </c>
      <c r="F160" s="211"/>
      <c r="G160" s="229" t="s">
        <v>527</v>
      </c>
      <c r="H160" s="213"/>
      <c r="I160" s="213"/>
    </row>
    <row r="161" spans="1:9" ht="138.6" thickBot="1">
      <c r="A161" s="208" t="s">
        <v>66</v>
      </c>
      <c r="B161" s="209" t="s">
        <v>528</v>
      </c>
      <c r="C161" s="209" t="s">
        <v>67</v>
      </c>
      <c r="D161" s="234" t="s">
        <v>529</v>
      </c>
      <c r="E161" s="205" t="s">
        <v>1315</v>
      </c>
      <c r="F161" s="211"/>
      <c r="G161" s="229" t="s">
        <v>527</v>
      </c>
      <c r="H161" s="213"/>
      <c r="I161" s="213"/>
    </row>
    <row r="162" spans="1:9" ht="166.2" thickBot="1">
      <c r="A162" s="208" t="s">
        <v>66</v>
      </c>
      <c r="B162" s="209" t="s">
        <v>530</v>
      </c>
      <c r="C162" s="209" t="s">
        <v>67</v>
      </c>
      <c r="D162" s="234" t="s">
        <v>531</v>
      </c>
      <c r="E162" s="205" t="s">
        <v>1316</v>
      </c>
      <c r="F162" s="211"/>
      <c r="G162" s="229" t="s">
        <v>532</v>
      </c>
      <c r="H162" s="213"/>
      <c r="I162" s="213"/>
    </row>
    <row r="163" spans="1:9" ht="69.599999999999994" thickBot="1">
      <c r="A163" s="208" t="s">
        <v>66</v>
      </c>
      <c r="B163" s="209" t="s">
        <v>533</v>
      </c>
      <c r="C163" s="235" t="s">
        <v>534</v>
      </c>
      <c r="D163" s="234" t="s">
        <v>535</v>
      </c>
      <c r="E163" s="205" t="s">
        <v>536</v>
      </c>
      <c r="F163" s="211"/>
      <c r="G163" s="229" t="s">
        <v>537</v>
      </c>
      <c r="H163" s="213"/>
      <c r="I163" s="213"/>
    </row>
    <row r="164" spans="1:9" ht="55.8" thickBot="1">
      <c r="A164" s="208" t="s">
        <v>66</v>
      </c>
      <c r="B164" s="209" t="s">
        <v>538</v>
      </c>
      <c r="C164" s="209" t="s">
        <v>539</v>
      </c>
      <c r="D164" s="234" t="s">
        <v>540</v>
      </c>
      <c r="E164" s="205" t="s">
        <v>541</v>
      </c>
      <c r="F164" s="211"/>
      <c r="G164" s="229" t="s">
        <v>542</v>
      </c>
      <c r="H164" s="213"/>
      <c r="I164" s="213"/>
    </row>
    <row r="165" spans="1:9" ht="69.599999999999994" thickBot="1">
      <c r="A165" s="214" t="s">
        <v>66</v>
      </c>
      <c r="B165" s="215" t="s">
        <v>543</v>
      </c>
      <c r="C165" s="215" t="s">
        <v>539</v>
      </c>
      <c r="D165" s="236" t="s">
        <v>544</v>
      </c>
      <c r="E165" s="205" t="s">
        <v>545</v>
      </c>
      <c r="F165" s="217"/>
      <c r="G165" s="237" t="s">
        <v>546</v>
      </c>
      <c r="H165" s="219"/>
      <c r="I165" s="219"/>
    </row>
  </sheetData>
  <phoneticPr fontId="21" type="noConversion"/>
  <pageMargins left="0.7" right="0.7" top="0.75" bottom="0.75" header="0.3" footer="0.3"/>
  <pageSetup paperSize="9" scale="18"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AE4837D-74B9-4BA6-AEC9-E0B6F9FC3F7F}">
          <x14:formula1>
            <xm:f>'C1_Convalida dati'!$D$2:$D$3</xm:f>
          </x14:formula1>
          <xm:sqref>H2:H165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BC95-2299-45FD-813E-00E71C629A65}">
  <dimension ref="A1:H10"/>
  <sheetViews>
    <sheetView workbookViewId="0">
      <selection activeCell="G3" sqref="G3"/>
    </sheetView>
  </sheetViews>
  <sheetFormatPr defaultRowHeight="14.4"/>
  <cols>
    <col min="1" max="1" width="20.21875" customWidth="1"/>
    <col min="2" max="2" width="29.77734375" style="5" bestFit="1" customWidth="1"/>
    <col min="3" max="3" width="20.77734375" customWidth="1"/>
    <col min="4" max="4" width="22.21875" customWidth="1"/>
    <col min="5" max="5" width="32.77734375" customWidth="1"/>
    <col min="6" max="6" width="29.21875" customWidth="1"/>
    <col min="7" max="7" width="24.44140625" customWidth="1"/>
  </cols>
  <sheetData>
    <row r="1" spans="1:8" ht="43.2">
      <c r="A1" s="50" t="s">
        <v>599</v>
      </c>
      <c r="B1" s="168" t="s">
        <v>565</v>
      </c>
      <c r="C1" s="168" t="s">
        <v>7</v>
      </c>
      <c r="D1" s="168" t="s">
        <v>600</v>
      </c>
      <c r="E1" s="168" t="s">
        <v>601</v>
      </c>
      <c r="F1" s="168" t="s">
        <v>602</v>
      </c>
      <c r="G1" s="168" t="s">
        <v>603</v>
      </c>
      <c r="H1" s="168" t="s">
        <v>604</v>
      </c>
    </row>
    <row r="2" spans="1:8">
      <c r="A2" t="s">
        <v>605</v>
      </c>
      <c r="B2" s="5" t="s">
        <v>606</v>
      </c>
      <c r="C2" t="s">
        <v>607</v>
      </c>
      <c r="D2" t="s">
        <v>608</v>
      </c>
      <c r="E2" t="s">
        <v>609</v>
      </c>
      <c r="F2" t="s">
        <v>610</v>
      </c>
      <c r="G2" s="169" t="s">
        <v>611</v>
      </c>
      <c r="H2">
        <v>6</v>
      </c>
    </row>
    <row r="3" spans="1:8">
      <c r="A3" t="s">
        <v>612</v>
      </c>
      <c r="B3" s="5" t="s">
        <v>613</v>
      </c>
      <c r="C3" t="s">
        <v>614</v>
      </c>
      <c r="D3" t="s">
        <v>615</v>
      </c>
      <c r="E3" t="s">
        <v>616</v>
      </c>
      <c r="F3" t="s">
        <v>617</v>
      </c>
      <c r="G3">
        <v>3</v>
      </c>
      <c r="H3">
        <v>12</v>
      </c>
    </row>
    <row r="4" spans="1:8" ht="28.8">
      <c r="A4" t="s">
        <v>618</v>
      </c>
      <c r="B4" s="5" t="s">
        <v>619</v>
      </c>
      <c r="E4" t="s">
        <v>620</v>
      </c>
      <c r="F4" t="s">
        <v>621</v>
      </c>
      <c r="G4">
        <v>5</v>
      </c>
      <c r="H4">
        <v>24</v>
      </c>
    </row>
    <row r="5" spans="1:8">
      <c r="B5" s="5" t="s">
        <v>622</v>
      </c>
      <c r="E5" t="s">
        <v>623</v>
      </c>
      <c r="F5" t="s">
        <v>624</v>
      </c>
      <c r="G5">
        <v>10</v>
      </c>
      <c r="H5">
        <v>36</v>
      </c>
    </row>
    <row r="6" spans="1:8">
      <c r="G6">
        <v>15</v>
      </c>
      <c r="H6">
        <v>48</v>
      </c>
    </row>
    <row r="7" spans="1:8">
      <c r="G7">
        <v>20</v>
      </c>
      <c r="H7">
        <v>60</v>
      </c>
    </row>
    <row r="8" spans="1:8">
      <c r="G8">
        <v>25</v>
      </c>
      <c r="H8">
        <v>72</v>
      </c>
    </row>
    <row r="9" spans="1:8">
      <c r="G9">
        <v>30</v>
      </c>
      <c r="H9">
        <v>84</v>
      </c>
    </row>
    <row r="10" spans="1:8">
      <c r="H10" t="s">
        <v>625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61B46-5953-4AEF-87AA-FA0BF06243F1}">
  <dimension ref="A1:T23"/>
  <sheetViews>
    <sheetView zoomScaleNormal="100" workbookViewId="0">
      <selection activeCell="C1" sqref="C1"/>
    </sheetView>
  </sheetViews>
  <sheetFormatPr defaultColWidth="9.21875" defaultRowHeight="14.4"/>
  <cols>
    <col min="1" max="1" width="10" style="50" bestFit="1" customWidth="1"/>
    <col min="2" max="2" width="15.33203125" style="50" bestFit="1" customWidth="1"/>
    <col min="3" max="3" width="22" style="50" bestFit="1" customWidth="1"/>
    <col min="4" max="4" width="33.44140625" customWidth="1"/>
    <col min="5" max="5" width="60.77734375" customWidth="1"/>
    <col min="6" max="6" width="26.5546875" bestFit="1" customWidth="1"/>
    <col min="7" max="7" width="14.21875" style="104" bestFit="1" customWidth="1"/>
    <col min="8" max="8" width="15.5546875" style="104" bestFit="1" customWidth="1"/>
    <col min="9" max="9" width="36.33203125" style="104" bestFit="1" customWidth="1"/>
    <col min="10" max="10" width="27.6640625" bestFit="1" customWidth="1"/>
    <col min="11" max="11" width="23.77734375" style="3" bestFit="1" customWidth="1"/>
    <col min="12" max="12" width="27.6640625" bestFit="1" customWidth="1"/>
    <col min="13" max="13" width="21.88671875" bestFit="1" customWidth="1"/>
    <col min="14" max="14" width="31" bestFit="1" customWidth="1"/>
    <col min="15" max="15" width="22.88671875" bestFit="1" customWidth="1"/>
    <col min="16" max="16" width="27.21875" style="44" bestFit="1" customWidth="1"/>
    <col min="17" max="17" width="26.88671875" style="44" bestFit="1" customWidth="1"/>
    <col min="18" max="18" width="26.5546875" bestFit="1" customWidth="1"/>
    <col min="19" max="19" width="22.5546875" style="51" bestFit="1" customWidth="1"/>
    <col min="20" max="20" width="26.5546875" bestFit="1" customWidth="1"/>
    <col min="21" max="21" width="14.21875" bestFit="1" customWidth="1"/>
  </cols>
  <sheetData>
    <row r="1" spans="1:20" ht="49.2" thickBot="1">
      <c r="A1" s="113" t="s">
        <v>626</v>
      </c>
      <c r="B1" s="113" t="s">
        <v>627</v>
      </c>
      <c r="C1" s="113" t="s">
        <v>628</v>
      </c>
      <c r="D1" s="114" t="s">
        <v>629</v>
      </c>
      <c r="E1" s="114" t="s">
        <v>630</v>
      </c>
      <c r="F1" s="114" t="s">
        <v>631</v>
      </c>
      <c r="G1" s="115" t="s">
        <v>632</v>
      </c>
      <c r="H1" s="115" t="s">
        <v>633</v>
      </c>
      <c r="I1" s="115" t="s">
        <v>634</v>
      </c>
      <c r="J1" s="114" t="s">
        <v>635</v>
      </c>
      <c r="K1" s="116" t="s">
        <v>636</v>
      </c>
      <c r="L1" s="116" t="s">
        <v>637</v>
      </c>
      <c r="M1" s="114" t="s">
        <v>638</v>
      </c>
      <c r="N1" s="116" t="s">
        <v>639</v>
      </c>
      <c r="O1" s="117" t="s">
        <v>640</v>
      </c>
      <c r="P1" s="118" t="s">
        <v>641</v>
      </c>
      <c r="Q1" s="118" t="s">
        <v>642</v>
      </c>
      <c r="R1" s="119" t="s">
        <v>643</v>
      </c>
      <c r="S1" s="119" t="s">
        <v>644</v>
      </c>
      <c r="T1" s="119" t="s">
        <v>645</v>
      </c>
    </row>
    <row r="2" spans="1:20" ht="43.2">
      <c r="A2" s="80" t="s">
        <v>66</v>
      </c>
      <c r="B2" s="52" t="s">
        <v>646</v>
      </c>
      <c r="C2" s="34"/>
      <c r="D2" s="64" t="s">
        <v>647</v>
      </c>
      <c r="E2" s="65" t="s">
        <v>648</v>
      </c>
      <c r="F2" s="65"/>
      <c r="G2" s="65" t="s">
        <v>649</v>
      </c>
      <c r="H2" s="64"/>
      <c r="I2" s="111"/>
      <c r="J2" s="64" t="s">
        <v>650</v>
      </c>
      <c r="K2" s="64">
        <v>1</v>
      </c>
      <c r="L2" s="63">
        <v>0</v>
      </c>
      <c r="M2" s="63">
        <v>8</v>
      </c>
      <c r="N2" s="86">
        <f t="shared" ref="N2:N14" si="0">M2*4</f>
        <v>32</v>
      </c>
      <c r="O2" s="66">
        <v>54.889499999999991</v>
      </c>
      <c r="P2" s="92">
        <v>47.73</v>
      </c>
      <c r="Q2" s="87">
        <f t="shared" ref="Q2:Q22" si="1">N2*P2</f>
        <v>1527.36</v>
      </c>
      <c r="R2" s="87">
        <f>Tabella2567[[#This Row],[Importo 48 mesi]]*0.01</f>
        <v>15.2736</v>
      </c>
      <c r="S2" s="95">
        <f>Tabella2567[[#This Row],[Importo 48 mesi]]+Tabella2567[[#This Row],[Importo stimato per ricambi]]</f>
        <v>1542.6335999999999</v>
      </c>
      <c r="T2" s="53">
        <f>SUM(S2:S22)</f>
        <v>752336.88419999997</v>
      </c>
    </row>
    <row r="3" spans="1:20" ht="302.39999999999998">
      <c r="A3" s="81" t="s">
        <v>66</v>
      </c>
      <c r="B3" s="54" t="s">
        <v>651</v>
      </c>
      <c r="C3" s="36"/>
      <c r="D3" s="47" t="s">
        <v>1305</v>
      </c>
      <c r="E3" s="48" t="s">
        <v>652</v>
      </c>
      <c r="F3" s="48"/>
      <c r="G3" s="112" t="s">
        <v>649</v>
      </c>
      <c r="H3" s="47"/>
      <c r="I3" s="109"/>
      <c r="J3" s="47" t="s">
        <v>650</v>
      </c>
      <c r="K3" s="47">
        <v>2</v>
      </c>
      <c r="L3" s="49">
        <v>46</v>
      </c>
      <c r="M3" s="49">
        <v>40</v>
      </c>
      <c r="N3" s="88">
        <f t="shared" si="0"/>
        <v>160</v>
      </c>
      <c r="O3" s="62">
        <v>313.5</v>
      </c>
      <c r="P3" s="93">
        <v>285</v>
      </c>
      <c r="Q3" s="89">
        <f t="shared" si="1"/>
        <v>45600</v>
      </c>
      <c r="R3" s="89">
        <f>Tabella2567[[#This Row],[Importo 48 mesi]]*0.01</f>
        <v>456</v>
      </c>
      <c r="S3" s="96">
        <f>Tabella2567[[#This Row],[Importo 48 mesi]]+Tabella2567[[#This Row],[Importo stimato per ricambi]]</f>
        <v>46056</v>
      </c>
      <c r="T3" s="55" t="str">
        <f>IF(COUNTIF($A$2:A3,A3)=1,SUMIF(A:A,A3,Q:Q),"")</f>
        <v/>
      </c>
    </row>
    <row r="4" spans="1:20" ht="158.4">
      <c r="A4" s="81" t="s">
        <v>66</v>
      </c>
      <c r="B4" s="54" t="s">
        <v>653</v>
      </c>
      <c r="C4" s="36"/>
      <c r="D4" s="47" t="s">
        <v>493</v>
      </c>
      <c r="E4" s="48" t="s">
        <v>654</v>
      </c>
      <c r="F4" s="48"/>
      <c r="G4" s="112" t="s">
        <v>649</v>
      </c>
      <c r="H4" s="47"/>
      <c r="I4" s="109"/>
      <c r="J4" s="47" t="s">
        <v>650</v>
      </c>
      <c r="K4" s="47">
        <v>2</v>
      </c>
      <c r="L4" s="49">
        <v>163</v>
      </c>
      <c r="M4" s="49">
        <v>130</v>
      </c>
      <c r="N4" s="88">
        <f t="shared" si="0"/>
        <v>520</v>
      </c>
      <c r="O4" s="62">
        <v>238.61199999999999</v>
      </c>
      <c r="P4" s="93">
        <v>216.92</v>
      </c>
      <c r="Q4" s="89">
        <f t="shared" si="1"/>
        <v>112798.39999999999</v>
      </c>
      <c r="R4" s="89">
        <f>Tabella2567[[#This Row],[Importo 48 mesi]]*0.01</f>
        <v>1127.9839999999999</v>
      </c>
      <c r="S4" s="96">
        <f>Tabella2567[[#This Row],[Importo 48 mesi]]+Tabella2567[[#This Row],[Importo stimato per ricambi]]</f>
        <v>113926.38399999999</v>
      </c>
      <c r="T4" s="55" t="str">
        <f>IF(COUNTIF($A$2:A4,A4)=1,SUMIF(A:A,A4,Q:Q),"")</f>
        <v/>
      </c>
    </row>
    <row r="5" spans="1:20" ht="129.6">
      <c r="A5" s="81" t="s">
        <v>66</v>
      </c>
      <c r="B5" s="54" t="s">
        <v>655</v>
      </c>
      <c r="C5" s="36"/>
      <c r="D5" s="47" t="s">
        <v>489</v>
      </c>
      <c r="E5" s="48" t="s">
        <v>656</v>
      </c>
      <c r="F5" s="48"/>
      <c r="G5" s="112"/>
      <c r="H5" s="47"/>
      <c r="I5" s="109"/>
      <c r="J5" s="47" t="s">
        <v>650</v>
      </c>
      <c r="K5" s="47">
        <v>2</v>
      </c>
      <c r="L5" s="49">
        <v>0</v>
      </c>
      <c r="M5" s="49">
        <v>5</v>
      </c>
      <c r="N5" s="88">
        <f t="shared" si="0"/>
        <v>20</v>
      </c>
      <c r="O5" s="62">
        <v>259.39100000000002</v>
      </c>
      <c r="P5" s="93">
        <v>235.81</v>
      </c>
      <c r="Q5" s="89">
        <f t="shared" si="1"/>
        <v>4716.2</v>
      </c>
      <c r="R5" s="89">
        <f>Tabella2567[[#This Row],[Importo 48 mesi]]*0.01</f>
        <v>47.161999999999999</v>
      </c>
      <c r="S5" s="96">
        <f>Tabella2567[[#This Row],[Importo 48 mesi]]+Tabella2567[[#This Row],[Importo stimato per ricambi]]</f>
        <v>4763.3620000000001</v>
      </c>
      <c r="T5" s="55" t="str">
        <f>IF(COUNTIF($A$2:A5,A5)=1,SUMIF(A:A,A5,Q:Q),"")</f>
        <v/>
      </c>
    </row>
    <row r="6" spans="1:20" ht="144">
      <c r="A6" s="81" t="s">
        <v>66</v>
      </c>
      <c r="B6" s="54" t="s">
        <v>657</v>
      </c>
      <c r="C6" s="36"/>
      <c r="D6" s="47" t="s">
        <v>658</v>
      </c>
      <c r="E6" s="48" t="s">
        <v>659</v>
      </c>
      <c r="F6" s="48"/>
      <c r="G6" s="112" t="s">
        <v>649</v>
      </c>
      <c r="H6" s="47"/>
      <c r="I6" s="109"/>
      <c r="J6" s="47" t="s">
        <v>650</v>
      </c>
      <c r="K6" s="47">
        <v>2</v>
      </c>
      <c r="L6" s="49">
        <v>0</v>
      </c>
      <c r="M6" s="49">
        <v>5</v>
      </c>
      <c r="N6" s="88">
        <f t="shared" si="0"/>
        <v>20</v>
      </c>
      <c r="O6" s="62">
        <v>707.39949999999999</v>
      </c>
      <c r="P6" s="93">
        <v>615.13</v>
      </c>
      <c r="Q6" s="89">
        <f t="shared" si="1"/>
        <v>12302.6</v>
      </c>
      <c r="R6" s="89">
        <f>Tabella2567[[#This Row],[Importo 48 mesi]]*0.01</f>
        <v>123.02600000000001</v>
      </c>
      <c r="S6" s="96">
        <f>Tabella2567[[#This Row],[Importo 48 mesi]]+Tabella2567[[#This Row],[Importo stimato per ricambi]]</f>
        <v>12425.626</v>
      </c>
      <c r="T6" s="55" t="str">
        <f>IF(COUNTIF($A$2:A6,A6)=1,SUMIF(A:A,A6,Q:Q),"")</f>
        <v/>
      </c>
    </row>
    <row r="7" spans="1:20" ht="72">
      <c r="A7" s="81" t="s">
        <v>66</v>
      </c>
      <c r="B7" s="54" t="s">
        <v>660</v>
      </c>
      <c r="C7" s="36"/>
      <c r="D7" s="47" t="s">
        <v>497</v>
      </c>
      <c r="E7" s="48" t="s">
        <v>1317</v>
      </c>
      <c r="F7" s="48"/>
      <c r="G7" s="112" t="s">
        <v>649</v>
      </c>
      <c r="H7" s="47"/>
      <c r="I7" s="109"/>
      <c r="J7" s="47" t="s">
        <v>650</v>
      </c>
      <c r="K7" s="47">
        <v>2</v>
      </c>
      <c r="L7" s="49">
        <v>96</v>
      </c>
      <c r="M7" s="49">
        <v>45</v>
      </c>
      <c r="N7" s="88">
        <f t="shared" si="0"/>
        <v>180</v>
      </c>
      <c r="O7" s="62">
        <v>645.37000000000012</v>
      </c>
      <c r="P7" s="93">
        <v>586.70000000000005</v>
      </c>
      <c r="Q7" s="89">
        <f t="shared" si="1"/>
        <v>105606.00000000001</v>
      </c>
      <c r="R7" s="89">
        <f>Tabella2567[[#This Row],[Importo 48 mesi]]*0.01</f>
        <v>1056.0600000000002</v>
      </c>
      <c r="S7" s="96">
        <f>Tabella2567[[#This Row],[Importo 48 mesi]]+Tabella2567[[#This Row],[Importo stimato per ricambi]]</f>
        <v>106662.06000000001</v>
      </c>
      <c r="T7" s="55" t="str">
        <f>IF(COUNTIF($A$2:A7,A7)=1,SUMIF(A:A,A7,Q:Q),"")</f>
        <v/>
      </c>
    </row>
    <row r="8" spans="1:20" ht="72">
      <c r="A8" s="81" t="s">
        <v>66</v>
      </c>
      <c r="B8" s="54" t="s">
        <v>661</v>
      </c>
      <c r="C8" s="36"/>
      <c r="D8" s="47" t="s">
        <v>500</v>
      </c>
      <c r="E8" s="48" t="s">
        <v>662</v>
      </c>
      <c r="F8" s="48"/>
      <c r="G8" s="112" t="s">
        <v>649</v>
      </c>
      <c r="H8" s="47"/>
      <c r="I8" s="109"/>
      <c r="J8" s="47" t="s">
        <v>650</v>
      </c>
      <c r="K8" s="47">
        <v>1</v>
      </c>
      <c r="L8" s="49">
        <v>199</v>
      </c>
      <c r="M8" s="49">
        <v>45</v>
      </c>
      <c r="N8" s="88">
        <f t="shared" si="0"/>
        <v>180</v>
      </c>
      <c r="O8" s="62">
        <v>647.0474999999999</v>
      </c>
      <c r="P8" s="93">
        <v>562.65</v>
      </c>
      <c r="Q8" s="89">
        <f t="shared" si="1"/>
        <v>101277</v>
      </c>
      <c r="R8" s="89">
        <f>Tabella2567[[#This Row],[Importo 48 mesi]]*0.01</f>
        <v>1012.77</v>
      </c>
      <c r="S8" s="96">
        <f>Tabella2567[[#This Row],[Importo 48 mesi]]+Tabella2567[[#This Row],[Importo stimato per ricambi]]</f>
        <v>102289.77</v>
      </c>
      <c r="T8" s="55" t="str">
        <f>IF(COUNTIF($A$2:A8,A8)=1,SUMIF(A:A,A8,Q:Q),"")</f>
        <v/>
      </c>
    </row>
    <row r="9" spans="1:20" ht="43.2">
      <c r="A9" s="81" t="s">
        <v>66</v>
      </c>
      <c r="B9" s="54" t="s">
        <v>663</v>
      </c>
      <c r="C9" s="36"/>
      <c r="D9" s="47" t="s">
        <v>503</v>
      </c>
      <c r="E9" s="48" t="s">
        <v>664</v>
      </c>
      <c r="F9" s="48"/>
      <c r="G9" s="112" t="s">
        <v>649</v>
      </c>
      <c r="H9" s="47"/>
      <c r="I9" s="109"/>
      <c r="J9" s="47" t="s">
        <v>650</v>
      </c>
      <c r="K9" s="47">
        <v>2</v>
      </c>
      <c r="L9" s="49">
        <v>3</v>
      </c>
      <c r="M9" s="49">
        <v>3</v>
      </c>
      <c r="N9" s="88">
        <f t="shared" si="0"/>
        <v>12</v>
      </c>
      <c r="O9" s="62">
        <v>519.38700000000006</v>
      </c>
      <c r="P9" s="93">
        <v>472.17</v>
      </c>
      <c r="Q9" s="89">
        <f t="shared" si="1"/>
        <v>5666.04</v>
      </c>
      <c r="R9" s="89">
        <f>Tabella2567[[#This Row],[Importo 48 mesi]]*0.01</f>
        <v>56.660400000000003</v>
      </c>
      <c r="S9" s="96">
        <f>Tabella2567[[#This Row],[Importo 48 mesi]]+Tabella2567[[#This Row],[Importo stimato per ricambi]]</f>
        <v>5722.7003999999997</v>
      </c>
      <c r="T9" s="55" t="str">
        <f>IF(COUNTIF($A$2:A9,A9)=1,SUMIF(A:A,A9,Q:Q),"")</f>
        <v/>
      </c>
    </row>
    <row r="10" spans="1:20" ht="57.6">
      <c r="A10" s="81" t="s">
        <v>66</v>
      </c>
      <c r="B10" s="54" t="s">
        <v>665</v>
      </c>
      <c r="C10" s="36"/>
      <c r="D10" s="47" t="s">
        <v>507</v>
      </c>
      <c r="E10" s="48" t="s">
        <v>666</v>
      </c>
      <c r="F10" s="48"/>
      <c r="G10" s="112" t="s">
        <v>649</v>
      </c>
      <c r="H10" s="47"/>
      <c r="I10" s="109"/>
      <c r="J10" s="47" t="s">
        <v>650</v>
      </c>
      <c r="K10" s="47">
        <v>1</v>
      </c>
      <c r="L10" s="49">
        <v>0</v>
      </c>
      <c r="M10" s="49">
        <v>2</v>
      </c>
      <c r="N10" s="88">
        <f t="shared" si="0"/>
        <v>8</v>
      </c>
      <c r="O10" s="62">
        <v>1683.3300000000002</v>
      </c>
      <c r="P10" s="93">
        <v>1530.3</v>
      </c>
      <c r="Q10" s="89">
        <f t="shared" si="1"/>
        <v>12242.4</v>
      </c>
      <c r="R10" s="89">
        <f>Tabella2567[[#This Row],[Importo 48 mesi]]*0.01</f>
        <v>122.42399999999999</v>
      </c>
      <c r="S10" s="96">
        <f>Tabella2567[[#This Row],[Importo 48 mesi]]+Tabella2567[[#This Row],[Importo stimato per ricambi]]</f>
        <v>12364.824000000001</v>
      </c>
      <c r="T10" s="55" t="str">
        <f>IF(COUNTIF($A$2:A10,A10)=1,SUMIF(A:A,A10,Q:Q),"")</f>
        <v/>
      </c>
    </row>
    <row r="11" spans="1:20" ht="28.8">
      <c r="A11" s="81" t="s">
        <v>66</v>
      </c>
      <c r="B11" s="54" t="s">
        <v>667</v>
      </c>
      <c r="C11" s="36"/>
      <c r="D11" s="47" t="s">
        <v>668</v>
      </c>
      <c r="E11" s="48" t="s">
        <v>669</v>
      </c>
      <c r="F11" s="48"/>
      <c r="G11" s="112" t="s">
        <v>649</v>
      </c>
      <c r="H11" s="47"/>
      <c r="I11" s="109"/>
      <c r="J11" s="47" t="s">
        <v>650</v>
      </c>
      <c r="K11" s="47">
        <v>1</v>
      </c>
      <c r="L11" s="49">
        <v>0</v>
      </c>
      <c r="M11" s="49">
        <v>1</v>
      </c>
      <c r="N11" s="88">
        <f t="shared" si="0"/>
        <v>4</v>
      </c>
      <c r="O11" s="62">
        <v>15417.93</v>
      </c>
      <c r="P11" s="93">
        <v>14016.3</v>
      </c>
      <c r="Q11" s="89">
        <f t="shared" si="1"/>
        <v>56065.2</v>
      </c>
      <c r="R11" s="89">
        <f>Tabella2567[[#This Row],[Importo 48 mesi]]*0.01</f>
        <v>560.65199999999993</v>
      </c>
      <c r="S11" s="96">
        <f>Tabella2567[[#This Row],[Importo 48 mesi]]+Tabella2567[[#This Row],[Importo stimato per ricambi]]</f>
        <v>56625.851999999999</v>
      </c>
      <c r="T11" s="55" t="str">
        <f>IF(COUNTIF($A$2:A11,A11)=1,SUMIF(A:A,A11,Q:Q),"")</f>
        <v/>
      </c>
    </row>
    <row r="12" spans="1:20" ht="43.2">
      <c r="A12" s="81" t="s">
        <v>66</v>
      </c>
      <c r="B12" s="54" t="s">
        <v>670</v>
      </c>
      <c r="C12" s="36"/>
      <c r="D12" s="47" t="s">
        <v>671</v>
      </c>
      <c r="E12" s="48" t="s">
        <v>672</v>
      </c>
      <c r="F12" s="48"/>
      <c r="G12" s="112" t="s">
        <v>649</v>
      </c>
      <c r="H12" s="47"/>
      <c r="I12" s="109"/>
      <c r="J12" s="47" t="s">
        <v>650</v>
      </c>
      <c r="K12" s="47"/>
      <c r="L12" s="49">
        <v>0</v>
      </c>
      <c r="M12" s="49">
        <v>1</v>
      </c>
      <c r="N12" s="88">
        <f t="shared" si="0"/>
        <v>4</v>
      </c>
      <c r="O12" s="62">
        <v>2380.9024999999997</v>
      </c>
      <c r="P12" s="93">
        <v>2070.35</v>
      </c>
      <c r="Q12" s="89">
        <f t="shared" si="1"/>
        <v>8281.4</v>
      </c>
      <c r="R12" s="89">
        <f>Tabella2567[[#This Row],[Importo 48 mesi]]*0.01</f>
        <v>82.813999999999993</v>
      </c>
      <c r="S12" s="96">
        <f>Tabella2567[[#This Row],[Importo 48 mesi]]+Tabella2567[[#This Row],[Importo stimato per ricambi]]</f>
        <v>8364.2139999999999</v>
      </c>
      <c r="T12" s="55" t="str">
        <f>IF(COUNTIF($A$2:A12,A12)=1,SUMIF(A:A,A12,Q:Q),"")</f>
        <v/>
      </c>
    </row>
    <row r="13" spans="1:20" ht="129.6">
      <c r="A13" s="81" t="s">
        <v>66</v>
      </c>
      <c r="B13" s="54" t="s">
        <v>673</v>
      </c>
      <c r="C13" s="36"/>
      <c r="D13" s="47" t="s">
        <v>674</v>
      </c>
      <c r="E13" s="48" t="s">
        <v>675</v>
      </c>
      <c r="F13" s="48"/>
      <c r="G13" s="112" t="s">
        <v>649</v>
      </c>
      <c r="H13" s="47"/>
      <c r="I13" s="109"/>
      <c r="J13" s="47" t="s">
        <v>650</v>
      </c>
      <c r="K13" s="47"/>
      <c r="L13" s="49">
        <v>0</v>
      </c>
      <c r="M13" s="49">
        <v>1</v>
      </c>
      <c r="N13" s="88">
        <f t="shared" si="0"/>
        <v>4</v>
      </c>
      <c r="O13" s="62">
        <v>51621.809499999996</v>
      </c>
      <c r="P13" s="93">
        <v>44888.53</v>
      </c>
      <c r="Q13" s="89">
        <f t="shared" si="1"/>
        <v>179554.12</v>
      </c>
      <c r="R13" s="89">
        <f>Tabella2567[[#This Row],[Importo 48 mesi]]*0.01</f>
        <v>1795.5411999999999</v>
      </c>
      <c r="S13" s="96">
        <f>Tabella2567[[#This Row],[Importo 48 mesi]]+Tabella2567[[#This Row],[Importo stimato per ricambi]]</f>
        <v>181349.6612</v>
      </c>
      <c r="T13" s="55" t="str">
        <f>IF(COUNTIF($A$2:A13,A13)=1,SUMIF(A:A,A13,Q:Q),"")</f>
        <v/>
      </c>
    </row>
    <row r="14" spans="1:20" ht="100.8">
      <c r="A14" s="81" t="s">
        <v>66</v>
      </c>
      <c r="B14" s="54" t="s">
        <v>676</v>
      </c>
      <c r="C14" s="36"/>
      <c r="D14" s="47" t="s">
        <v>510</v>
      </c>
      <c r="E14" s="48" t="s">
        <v>1318</v>
      </c>
      <c r="F14" s="48"/>
      <c r="G14" s="112" t="s">
        <v>649</v>
      </c>
      <c r="H14" s="47"/>
      <c r="I14" s="109"/>
      <c r="J14" s="47" t="s">
        <v>650</v>
      </c>
      <c r="K14" s="47"/>
      <c r="L14" s="49">
        <v>61</v>
      </c>
      <c r="M14" s="49">
        <v>60</v>
      </c>
      <c r="N14" s="88">
        <f t="shared" si="0"/>
        <v>240</v>
      </c>
      <c r="O14" s="62">
        <v>210.55349999999999</v>
      </c>
      <c r="P14" s="93">
        <v>183.09</v>
      </c>
      <c r="Q14" s="89">
        <f t="shared" si="1"/>
        <v>43941.599999999999</v>
      </c>
      <c r="R14" s="89">
        <f>Tabella2567[[#This Row],[Importo 48 mesi]]*0.01</f>
        <v>439.416</v>
      </c>
      <c r="S14" s="96">
        <f>Tabella2567[[#This Row],[Importo 48 mesi]]+Tabella2567[[#This Row],[Importo stimato per ricambi]]</f>
        <v>44381.015999999996</v>
      </c>
      <c r="T14" s="55" t="str">
        <f>IF(COUNTIF($A$2:A14,A14)=1,SUMIF(A:A,A14,Q:Q),"")</f>
        <v/>
      </c>
    </row>
    <row r="15" spans="1:20" ht="57.6">
      <c r="A15" s="81" t="s">
        <v>66</v>
      </c>
      <c r="B15" s="54" t="s">
        <v>677</v>
      </c>
      <c r="C15" s="36"/>
      <c r="D15" s="47" t="s">
        <v>513</v>
      </c>
      <c r="E15" s="48" t="s">
        <v>678</v>
      </c>
      <c r="F15" s="48"/>
      <c r="G15" s="112" t="s">
        <v>649</v>
      </c>
      <c r="H15" s="47"/>
      <c r="I15" s="109"/>
      <c r="J15" s="47" t="s">
        <v>650</v>
      </c>
      <c r="K15" s="47"/>
      <c r="L15" s="49">
        <v>0</v>
      </c>
      <c r="M15" s="49">
        <v>5</v>
      </c>
      <c r="N15" s="88">
        <v>20</v>
      </c>
      <c r="O15" s="62">
        <v>309.80999999999995</v>
      </c>
      <c r="P15" s="93">
        <v>269.39999999999998</v>
      </c>
      <c r="Q15" s="89">
        <f t="shared" si="1"/>
        <v>5388</v>
      </c>
      <c r="R15" s="89">
        <f>Tabella2567[[#This Row],[Importo 48 mesi]]*0.01</f>
        <v>53.88</v>
      </c>
      <c r="S15" s="96">
        <f>Tabella2567[[#This Row],[Importo 48 mesi]]+Tabella2567[[#This Row],[Importo stimato per ricambi]]</f>
        <v>5441.88</v>
      </c>
      <c r="T15" s="55" t="str">
        <f>IF(COUNTIF($A$2:A15,A15)=1,SUMIF(A:A,A15,Q:Q),"")</f>
        <v/>
      </c>
    </row>
    <row r="16" spans="1:20" ht="43.2">
      <c r="A16" s="81" t="s">
        <v>66</v>
      </c>
      <c r="B16" s="54" t="s">
        <v>679</v>
      </c>
      <c r="C16" s="36"/>
      <c r="D16" s="47" t="s">
        <v>517</v>
      </c>
      <c r="E16" s="48" t="s">
        <v>680</v>
      </c>
      <c r="F16" s="48"/>
      <c r="G16" s="112" t="s">
        <v>649</v>
      </c>
      <c r="H16" s="47"/>
      <c r="I16" s="109"/>
      <c r="J16" s="47" t="s">
        <v>650</v>
      </c>
      <c r="K16" s="47"/>
      <c r="L16" s="49">
        <v>0</v>
      </c>
      <c r="M16" s="49">
        <v>0</v>
      </c>
      <c r="N16" s="88">
        <v>5</v>
      </c>
      <c r="O16" s="62">
        <v>219.81099999999998</v>
      </c>
      <c r="P16" s="93">
        <v>191.14</v>
      </c>
      <c r="Q16" s="89">
        <f t="shared" si="1"/>
        <v>955.69999999999993</v>
      </c>
      <c r="R16" s="89">
        <f>Tabella2567[[#This Row],[Importo 48 mesi]]*0.01</f>
        <v>9.5570000000000004</v>
      </c>
      <c r="S16" s="96">
        <f>Tabella2567[[#This Row],[Importo 48 mesi]]+Tabella2567[[#This Row],[Importo stimato per ricambi]]</f>
        <v>965.25699999999995</v>
      </c>
      <c r="T16" s="55" t="str">
        <f>IF(COUNTIF($A$2:A16,A16)=1,SUMIF(A:A,A16,Q:Q),"")</f>
        <v/>
      </c>
    </row>
    <row r="17" spans="1:20" ht="43.2">
      <c r="A17" s="81" t="s">
        <v>66</v>
      </c>
      <c r="B17" s="54" t="s">
        <v>681</v>
      </c>
      <c r="C17" s="36"/>
      <c r="D17" s="47" t="s">
        <v>1309</v>
      </c>
      <c r="E17" s="48" t="s">
        <v>682</v>
      </c>
      <c r="F17" s="48"/>
      <c r="G17" s="112" t="s">
        <v>649</v>
      </c>
      <c r="H17" s="47"/>
      <c r="I17" s="109"/>
      <c r="J17" s="47" t="s">
        <v>650</v>
      </c>
      <c r="K17" s="47">
        <v>1</v>
      </c>
      <c r="L17" s="49">
        <v>0</v>
      </c>
      <c r="M17" s="49">
        <v>0</v>
      </c>
      <c r="N17" s="88">
        <v>5</v>
      </c>
      <c r="O17" s="62">
        <v>254.26499999999999</v>
      </c>
      <c r="P17" s="93">
        <v>221.1</v>
      </c>
      <c r="Q17" s="89">
        <f t="shared" si="1"/>
        <v>1105.5</v>
      </c>
      <c r="R17" s="89">
        <f>Tabella2567[[#This Row],[Importo 48 mesi]]*0.01</f>
        <v>11.055</v>
      </c>
      <c r="S17" s="96">
        <f>Tabella2567[[#This Row],[Importo 48 mesi]]+Tabella2567[[#This Row],[Importo stimato per ricambi]]</f>
        <v>1116.5550000000001</v>
      </c>
      <c r="T17" s="55" t="str">
        <f>IF(COUNTIF($A$2:A17,A17)=1,SUMIF(A:A,A17,Q:Q),"")</f>
        <v/>
      </c>
    </row>
    <row r="18" spans="1:20" ht="57.6">
      <c r="A18" s="81" t="s">
        <v>66</v>
      </c>
      <c r="B18" s="54" t="s">
        <v>683</v>
      </c>
      <c r="C18" s="36"/>
      <c r="D18" s="47" t="s">
        <v>1311</v>
      </c>
      <c r="E18" s="48" t="s">
        <v>684</v>
      </c>
      <c r="F18" s="48"/>
      <c r="G18" s="112" t="s">
        <v>649</v>
      </c>
      <c r="H18" s="47"/>
      <c r="I18" s="109"/>
      <c r="J18" s="47" t="s">
        <v>650</v>
      </c>
      <c r="K18" s="47">
        <v>1</v>
      </c>
      <c r="L18" s="49">
        <v>0</v>
      </c>
      <c r="M18" s="49">
        <v>0</v>
      </c>
      <c r="N18" s="88">
        <v>5</v>
      </c>
      <c r="O18" s="62">
        <v>249.06700000000001</v>
      </c>
      <c r="P18" s="93">
        <v>216.58</v>
      </c>
      <c r="Q18" s="89">
        <f t="shared" si="1"/>
        <v>1082.9000000000001</v>
      </c>
      <c r="R18" s="89">
        <f>Tabella2567[[#This Row],[Importo 48 mesi]]*0.01</f>
        <v>10.829000000000001</v>
      </c>
      <c r="S18" s="96">
        <f>Tabella2567[[#This Row],[Importo 48 mesi]]+Tabella2567[[#This Row],[Importo stimato per ricambi]]</f>
        <v>1093.729</v>
      </c>
      <c r="T18" s="55" t="str">
        <f>IF(COUNTIF($A$2:A18,A18)=1,SUMIF(A:A,A18,Q:Q),"")</f>
        <v/>
      </c>
    </row>
    <row r="19" spans="1:20" ht="172.8">
      <c r="A19" s="81" t="s">
        <v>66</v>
      </c>
      <c r="B19" s="54" t="s">
        <v>685</v>
      </c>
      <c r="C19" s="36"/>
      <c r="D19" s="47" t="s">
        <v>686</v>
      </c>
      <c r="E19" s="48" t="s">
        <v>1319</v>
      </c>
      <c r="F19" s="48"/>
      <c r="G19" s="112" t="s">
        <v>649</v>
      </c>
      <c r="H19" s="47"/>
      <c r="I19" s="109" t="s">
        <v>524</v>
      </c>
      <c r="J19" s="47" t="s">
        <v>650</v>
      </c>
      <c r="K19" s="47">
        <v>1</v>
      </c>
      <c r="L19" s="49">
        <v>0</v>
      </c>
      <c r="M19" s="49">
        <v>0</v>
      </c>
      <c r="N19" s="88">
        <v>1</v>
      </c>
      <c r="O19" s="62">
        <v>3125.3089999999997</v>
      </c>
      <c r="P19" s="93">
        <v>2717.66</v>
      </c>
      <c r="Q19" s="89">
        <f t="shared" si="1"/>
        <v>2717.66</v>
      </c>
      <c r="R19" s="89">
        <v>0</v>
      </c>
      <c r="S19" s="96">
        <f>Tabella2567[[#This Row],[Importo 48 mesi]]+Tabella2567[[#This Row],[Importo stimato per ricambi]]</f>
        <v>2717.66</v>
      </c>
      <c r="T19" s="55" t="str">
        <f>IF(COUNTIF($A$2:A19,A19)=1,SUMIF(A:A,A19,Q:Q),"")</f>
        <v/>
      </c>
    </row>
    <row r="20" spans="1:20" ht="187.2">
      <c r="A20" s="81" t="s">
        <v>66</v>
      </c>
      <c r="B20" s="54" t="s">
        <v>687</v>
      </c>
      <c r="C20" s="36"/>
      <c r="D20" s="47" t="s">
        <v>526</v>
      </c>
      <c r="E20" s="48" t="s">
        <v>1320</v>
      </c>
      <c r="F20" s="48" t="s">
        <v>1321</v>
      </c>
      <c r="G20" s="112" t="s">
        <v>649</v>
      </c>
      <c r="H20" s="47"/>
      <c r="I20" s="109"/>
      <c r="J20" s="47" t="s">
        <v>650</v>
      </c>
      <c r="K20" s="47">
        <v>1</v>
      </c>
      <c r="L20" s="49">
        <v>86</v>
      </c>
      <c r="M20" s="49">
        <f>Tabella2567[[#This Row],[Fabbisogno 48 mesi]]/4</f>
        <v>22.5</v>
      </c>
      <c r="N20" s="88">
        <v>90</v>
      </c>
      <c r="O20" s="62">
        <v>62.042499999999997</v>
      </c>
      <c r="P20" s="93">
        <v>53.95</v>
      </c>
      <c r="Q20" s="89">
        <f t="shared" si="1"/>
        <v>4855.5</v>
      </c>
      <c r="R20" s="89">
        <v>0</v>
      </c>
      <c r="S20" s="96">
        <f>Tabella2567[[#This Row],[Importo 48 mesi]]+Tabella2567[[#This Row],[Importo stimato per ricambi]]</f>
        <v>4855.5</v>
      </c>
      <c r="T20" s="55" t="str">
        <f>IF(COUNTIF($A$2:A20,A20)=1,SUMIF(A:A,A20,Q:Q),"")</f>
        <v/>
      </c>
    </row>
    <row r="21" spans="1:20" ht="172.8">
      <c r="A21" s="81" t="s">
        <v>66</v>
      </c>
      <c r="B21" s="54" t="s">
        <v>688</v>
      </c>
      <c r="C21" s="36"/>
      <c r="D21" s="47" t="s">
        <v>529</v>
      </c>
      <c r="E21" s="48" t="s">
        <v>1322</v>
      </c>
      <c r="F21" s="48" t="s">
        <v>1323</v>
      </c>
      <c r="G21" s="112" t="s">
        <v>649</v>
      </c>
      <c r="H21" s="47"/>
      <c r="I21" s="109"/>
      <c r="J21" s="47" t="s">
        <v>650</v>
      </c>
      <c r="K21" s="47">
        <v>1</v>
      </c>
      <c r="L21" s="49">
        <v>62</v>
      </c>
      <c r="M21" s="49">
        <f>Tabella2567[[#This Row],[Fabbisogno 48 mesi]]/4</f>
        <v>15</v>
      </c>
      <c r="N21" s="88">
        <v>60</v>
      </c>
      <c r="O21" s="62">
        <v>338.2955</v>
      </c>
      <c r="P21" s="93">
        <v>294.17</v>
      </c>
      <c r="Q21" s="89">
        <f t="shared" si="1"/>
        <v>17650.2</v>
      </c>
      <c r="R21" s="89">
        <v>0</v>
      </c>
      <c r="S21" s="96">
        <f>Tabella2567[[#This Row],[Importo 48 mesi]]+Tabella2567[[#This Row],[Importo stimato per ricambi]]</f>
        <v>17650.2</v>
      </c>
      <c r="T21" s="55" t="str">
        <f>IF(COUNTIF($A$2:A21,A21)=1,SUMIF(A:A,A21,Q:Q),"")</f>
        <v/>
      </c>
    </row>
    <row r="22" spans="1:20" ht="87" thickBot="1">
      <c r="A22" s="82" t="s">
        <v>66</v>
      </c>
      <c r="B22" s="56" t="s">
        <v>689</v>
      </c>
      <c r="C22" s="120"/>
      <c r="D22" s="68" t="s">
        <v>690</v>
      </c>
      <c r="E22" s="69" t="s">
        <v>691</v>
      </c>
      <c r="F22" s="121"/>
      <c r="G22" s="112" t="s">
        <v>649</v>
      </c>
      <c r="H22" s="122"/>
      <c r="I22" s="123"/>
      <c r="J22" s="68" t="s">
        <v>650</v>
      </c>
      <c r="K22" s="68">
        <v>2</v>
      </c>
      <c r="L22" s="67">
        <v>431</v>
      </c>
      <c r="M22" s="67">
        <f>Tabella2567[[#This Row],[Fabbisogno 48 mesi]]/4</f>
        <v>137.5</v>
      </c>
      <c r="N22" s="90">
        <v>550</v>
      </c>
      <c r="O22" s="70">
        <v>46.045999999999992</v>
      </c>
      <c r="P22" s="94">
        <v>40.04</v>
      </c>
      <c r="Q22" s="91">
        <f t="shared" si="1"/>
        <v>22022</v>
      </c>
      <c r="R22" s="91">
        <v>0</v>
      </c>
      <c r="S22" s="97">
        <f>Tabella2567[[#This Row],[Importo 48 mesi]]+Tabella2567[[#This Row],[Importo stimato per ricambi]]</f>
        <v>22022</v>
      </c>
      <c r="T22" s="57" t="str">
        <f>IF(COUNTIF($A$2:A22,A22)=1,SUMIF(A:A,A22,Q:Q),"")</f>
        <v/>
      </c>
    </row>
    <row r="23" spans="1:20" ht="15" thickBot="1">
      <c r="A23" s="71"/>
      <c r="B23" s="83"/>
      <c r="C23" s="83"/>
      <c r="D23" s="84"/>
      <c r="E23" s="84"/>
      <c r="F23" s="84"/>
      <c r="G23" s="103"/>
      <c r="H23" s="103"/>
      <c r="I23" s="103"/>
      <c r="J23" s="84"/>
      <c r="K23" s="102"/>
      <c r="L23" s="84"/>
      <c r="M23" s="84"/>
      <c r="N23" s="84"/>
      <c r="O23" s="85"/>
      <c r="P23" s="85"/>
      <c r="Q23" s="85"/>
      <c r="R23" s="85"/>
      <c r="S23" s="85"/>
      <c r="T23" s="98">
        <f>SUM(Tabella2567[Importo stimato per lotto])</f>
        <v>752336.88419999997</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57F3-088C-484E-BB03-EF58C83740F1}">
  <dimension ref="A1:T6"/>
  <sheetViews>
    <sheetView topLeftCell="A2" zoomScaleNormal="100" workbookViewId="0">
      <selection activeCell="C1" sqref="C1"/>
    </sheetView>
  </sheetViews>
  <sheetFormatPr defaultColWidth="9.21875" defaultRowHeight="14.4"/>
  <cols>
    <col min="1" max="1" width="19.77734375" style="50" customWidth="1"/>
    <col min="2" max="2" width="17.77734375" style="50" customWidth="1"/>
    <col min="3" max="3" width="21.21875" style="50" customWidth="1"/>
    <col min="4" max="4" width="33.44140625" customWidth="1"/>
    <col min="5" max="5" width="60.77734375" customWidth="1"/>
    <col min="6" max="6" width="27.21875" customWidth="1"/>
    <col min="7" max="7" width="19.5546875" style="104" customWidth="1"/>
    <col min="8" max="8" width="21.77734375" style="104" customWidth="1"/>
    <col min="9" max="9" width="35.5546875" style="104" customWidth="1"/>
    <col min="10" max="10" width="28.21875" customWidth="1"/>
    <col min="11" max="11" width="19.77734375" style="3" customWidth="1"/>
    <col min="12" max="12" width="23.21875" customWidth="1"/>
    <col min="13" max="13" width="20" customWidth="1"/>
    <col min="14" max="14" width="26.77734375" customWidth="1"/>
    <col min="15" max="15" width="20" customWidth="1"/>
    <col min="16" max="16" width="26.21875" style="44" customWidth="1"/>
    <col min="17" max="17" width="30.5546875" style="44" customWidth="1"/>
    <col min="18" max="18" width="25.44140625" customWidth="1"/>
    <col min="19" max="19" width="30.77734375" style="51" customWidth="1"/>
    <col min="20" max="20" width="24.77734375" customWidth="1"/>
    <col min="21" max="21" width="14.21875" bestFit="1" customWidth="1"/>
  </cols>
  <sheetData>
    <row r="1" spans="1:20" ht="65.400000000000006" thickBot="1">
      <c r="A1" s="113" t="s">
        <v>626</v>
      </c>
      <c r="B1" s="113" t="s">
        <v>627</v>
      </c>
      <c r="C1" s="113" t="s">
        <v>628</v>
      </c>
      <c r="D1" s="114" t="s">
        <v>629</v>
      </c>
      <c r="E1" s="114" t="s">
        <v>630</v>
      </c>
      <c r="F1" s="114" t="s">
        <v>631</v>
      </c>
      <c r="G1" s="115" t="s">
        <v>632</v>
      </c>
      <c r="H1" s="115" t="s">
        <v>633</v>
      </c>
      <c r="I1" s="115" t="s">
        <v>634</v>
      </c>
      <c r="J1" s="114" t="s">
        <v>635</v>
      </c>
      <c r="K1" s="116" t="s">
        <v>636</v>
      </c>
      <c r="L1" s="116" t="s">
        <v>637</v>
      </c>
      <c r="M1" s="114" t="s">
        <v>638</v>
      </c>
      <c r="N1" s="116" t="s">
        <v>639</v>
      </c>
      <c r="O1" s="117" t="s">
        <v>640</v>
      </c>
      <c r="P1" s="118" t="s">
        <v>641</v>
      </c>
      <c r="Q1" s="118" t="s">
        <v>642</v>
      </c>
      <c r="R1" s="119" t="s">
        <v>643</v>
      </c>
      <c r="S1" s="119" t="s">
        <v>644</v>
      </c>
      <c r="T1" s="119" t="s">
        <v>645</v>
      </c>
    </row>
    <row r="2" spans="1:20" ht="72">
      <c r="A2" s="60" t="s">
        <v>46</v>
      </c>
      <c r="B2" s="52" t="s">
        <v>332</v>
      </c>
      <c r="C2" s="34"/>
      <c r="D2" s="30" t="s">
        <v>333</v>
      </c>
      <c r="E2" s="30" t="s">
        <v>692</v>
      </c>
      <c r="F2" s="30"/>
      <c r="G2" s="129" t="s">
        <v>693</v>
      </c>
      <c r="H2" s="30"/>
      <c r="I2" s="106" t="s">
        <v>335</v>
      </c>
      <c r="J2" s="86" t="s">
        <v>650</v>
      </c>
      <c r="K2" s="30">
        <v>5</v>
      </c>
      <c r="L2" s="30">
        <v>641</v>
      </c>
      <c r="M2" s="30">
        <v>969</v>
      </c>
      <c r="N2" s="30">
        <f t="shared" ref="N2:N5" si="0">M2*4</f>
        <v>3876</v>
      </c>
      <c r="O2" s="35">
        <v>224.24999999999997</v>
      </c>
      <c r="P2" s="35">
        <f t="shared" ref="P2:P5" si="1">O2/1.15</f>
        <v>195</v>
      </c>
      <c r="Q2" s="35">
        <f t="shared" ref="Q2:Q5" si="2">N2*P2</f>
        <v>755820</v>
      </c>
      <c r="R2" s="35">
        <v>0</v>
      </c>
      <c r="S2" s="35">
        <f>Tabella256[[#This Row],[Importo 48 mesi]]+Tabella256[[#This Row],[Importo stimato per ricambi]]</f>
        <v>755820</v>
      </c>
      <c r="T2" s="53">
        <f>SUM(S2:S5)</f>
        <v>926957.73913043481</v>
      </c>
    </row>
    <row r="3" spans="1:20" ht="63.6" customHeight="1">
      <c r="A3" s="33" t="s">
        <v>46</v>
      </c>
      <c r="B3" s="54" t="s">
        <v>336</v>
      </c>
      <c r="C3" s="36"/>
      <c r="D3" s="37" t="s">
        <v>337</v>
      </c>
      <c r="E3" s="37" t="s">
        <v>694</v>
      </c>
      <c r="F3" s="37"/>
      <c r="G3" s="127" t="s">
        <v>693</v>
      </c>
      <c r="H3" s="37"/>
      <c r="I3" s="107" t="s">
        <v>335</v>
      </c>
      <c r="J3" s="88" t="s">
        <v>650</v>
      </c>
      <c r="K3" s="37">
        <v>5</v>
      </c>
      <c r="L3" s="37">
        <v>192</v>
      </c>
      <c r="M3" s="37">
        <v>224</v>
      </c>
      <c r="N3" s="37">
        <f t="shared" si="0"/>
        <v>896</v>
      </c>
      <c r="O3" s="31">
        <v>150.64999999999998</v>
      </c>
      <c r="P3" s="31">
        <f t="shared" si="1"/>
        <v>131</v>
      </c>
      <c r="Q3" s="31">
        <f t="shared" si="2"/>
        <v>117376</v>
      </c>
      <c r="R3" s="31">
        <v>0</v>
      </c>
      <c r="S3" s="31">
        <f>Tabella256[[#This Row],[Importo 48 mesi]]+Tabella256[[#This Row],[Importo stimato per ricambi]]</f>
        <v>117376</v>
      </c>
      <c r="T3" s="55" t="str">
        <f>IF(COUNTIF($A$2:A3,A3)=1,SUMIF(A:A,A3,Q:Q),"")</f>
        <v/>
      </c>
    </row>
    <row r="4" spans="1:20" ht="85.2" customHeight="1">
      <c r="A4" s="33" t="s">
        <v>46</v>
      </c>
      <c r="B4" s="54" t="s">
        <v>339</v>
      </c>
      <c r="C4" s="36"/>
      <c r="D4" s="37" t="s">
        <v>340</v>
      </c>
      <c r="E4" s="37" t="s">
        <v>695</v>
      </c>
      <c r="F4" s="37"/>
      <c r="G4" s="127" t="s">
        <v>693</v>
      </c>
      <c r="H4" s="37"/>
      <c r="I4" s="107" t="s">
        <v>335</v>
      </c>
      <c r="J4" s="88" t="s">
        <v>650</v>
      </c>
      <c r="K4" s="37">
        <v>5</v>
      </c>
      <c r="L4" s="37">
        <v>0</v>
      </c>
      <c r="M4" s="37">
        <v>70</v>
      </c>
      <c r="N4" s="37">
        <f t="shared" si="0"/>
        <v>280</v>
      </c>
      <c r="O4" s="31">
        <v>120.74999999999999</v>
      </c>
      <c r="P4" s="31">
        <f t="shared" si="1"/>
        <v>105</v>
      </c>
      <c r="Q4" s="31">
        <f t="shared" si="2"/>
        <v>29400</v>
      </c>
      <c r="R4" s="31">
        <v>0</v>
      </c>
      <c r="S4" s="31">
        <f>Tabella256[[#This Row],[Importo 48 mesi]]+Tabella256[[#This Row],[Importo stimato per ricambi]]</f>
        <v>29400</v>
      </c>
      <c r="T4" s="55" t="str">
        <f>IF(COUNTIF($A$2:A4,A4)=1,SUMIF(A:A,A4,Q:Q),"")</f>
        <v/>
      </c>
    </row>
    <row r="5" spans="1:20" ht="58.2" thickBot="1">
      <c r="A5" s="46" t="s">
        <v>46</v>
      </c>
      <c r="B5" s="58" t="s">
        <v>342</v>
      </c>
      <c r="C5" s="39"/>
      <c r="D5" s="38" t="s">
        <v>343</v>
      </c>
      <c r="E5" s="38" t="s">
        <v>696</v>
      </c>
      <c r="F5" s="38"/>
      <c r="G5" s="130" t="s">
        <v>693</v>
      </c>
      <c r="H5" s="38"/>
      <c r="I5" s="108" t="s">
        <v>335</v>
      </c>
      <c r="J5" s="101" t="s">
        <v>650</v>
      </c>
      <c r="K5" s="38">
        <v>5</v>
      </c>
      <c r="L5" s="38">
        <v>20</v>
      </c>
      <c r="M5" s="38">
        <v>40</v>
      </c>
      <c r="N5" s="38">
        <f t="shared" si="0"/>
        <v>160</v>
      </c>
      <c r="O5" s="32">
        <v>175.1</v>
      </c>
      <c r="P5" s="32">
        <f t="shared" si="1"/>
        <v>152.2608695652174</v>
      </c>
      <c r="Q5" s="32">
        <f t="shared" si="2"/>
        <v>24361.739130434784</v>
      </c>
      <c r="R5" s="32">
        <v>0</v>
      </c>
      <c r="S5" s="32">
        <f>Tabella256[[#This Row],[Importo 48 mesi]]+Tabella256[[#This Row],[Importo stimato per ricambi]]</f>
        <v>24361.739130434784</v>
      </c>
      <c r="T5" s="59" t="str">
        <f>IF(COUNTIF($A$2:A5,A5)=1,SUMIF(A:A,A5,Q:Q),"")</f>
        <v/>
      </c>
    </row>
    <row r="6" spans="1:20" ht="15" thickBot="1">
      <c r="A6" s="71"/>
      <c r="B6" s="83"/>
      <c r="C6" s="83"/>
      <c r="D6" s="84"/>
      <c r="E6" s="84"/>
      <c r="F6" s="84"/>
      <c r="G6" s="103"/>
      <c r="H6" s="103"/>
      <c r="I6" s="103"/>
      <c r="J6" s="84"/>
      <c r="K6" s="102"/>
      <c r="L6" s="84"/>
      <c r="M6" s="84"/>
      <c r="N6" s="84"/>
      <c r="O6" s="85"/>
      <c r="P6" s="85"/>
      <c r="Q6" s="85"/>
      <c r="R6" s="85"/>
      <c r="S6" s="85"/>
      <c r="T6" s="98">
        <f>SUM(Tabella256[Importo stimato per lotto])</f>
        <v>926957.73913043481</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8B793-0A93-4153-8632-A8FB33E9DE10}">
  <dimension ref="A1:T21"/>
  <sheetViews>
    <sheetView zoomScaleNormal="100" workbookViewId="0">
      <selection activeCell="C1" sqref="C1"/>
    </sheetView>
  </sheetViews>
  <sheetFormatPr defaultColWidth="9.21875" defaultRowHeight="14.4"/>
  <cols>
    <col min="1" max="1" width="10" style="50" bestFit="1" customWidth="1"/>
    <col min="2" max="2" width="15.33203125" style="50" bestFit="1" customWidth="1"/>
    <col min="3" max="3" width="22" style="50" bestFit="1" customWidth="1"/>
    <col min="4" max="4" width="33.44140625" customWidth="1"/>
    <col min="5" max="5" width="60.5546875" bestFit="1" customWidth="1"/>
    <col min="6" max="6" width="25.88671875" bestFit="1" customWidth="1"/>
    <col min="7" max="7" width="16.6640625" style="104" bestFit="1" customWidth="1"/>
    <col min="8" max="8" width="15.5546875" style="104" bestFit="1" customWidth="1"/>
    <col min="9" max="9" width="36.33203125" style="104" bestFit="1" customWidth="1"/>
    <col min="10" max="10" width="27.6640625" bestFit="1" customWidth="1"/>
    <col min="11" max="11" width="23.77734375" style="3" bestFit="1" customWidth="1"/>
    <col min="12" max="12" width="27.6640625" bestFit="1" customWidth="1"/>
    <col min="13" max="13" width="21.88671875" bestFit="1" customWidth="1"/>
    <col min="14" max="14" width="31" bestFit="1" customWidth="1"/>
    <col min="15" max="15" width="22.88671875" bestFit="1" customWidth="1"/>
    <col min="16" max="16" width="27.21875" style="44" bestFit="1" customWidth="1"/>
    <col min="17" max="17" width="26.88671875" style="44" bestFit="1" customWidth="1"/>
    <col min="18" max="18" width="26.5546875" bestFit="1" customWidth="1"/>
    <col min="19" max="19" width="22.5546875" style="51" bestFit="1" customWidth="1"/>
    <col min="20" max="20" width="26.5546875" bestFit="1" customWidth="1"/>
    <col min="21" max="21" width="14.21875" bestFit="1" customWidth="1"/>
  </cols>
  <sheetData>
    <row r="1" spans="1:20" ht="49.2" thickBot="1">
      <c r="A1" s="113" t="s">
        <v>626</v>
      </c>
      <c r="B1" s="113" t="s">
        <v>627</v>
      </c>
      <c r="C1" s="113" t="s">
        <v>628</v>
      </c>
      <c r="D1" s="114" t="s">
        <v>629</v>
      </c>
      <c r="E1" s="114" t="s">
        <v>630</v>
      </c>
      <c r="F1" s="114" t="s">
        <v>631</v>
      </c>
      <c r="G1" s="115" t="s">
        <v>632</v>
      </c>
      <c r="H1" s="115" t="s">
        <v>633</v>
      </c>
      <c r="I1" s="115" t="s">
        <v>634</v>
      </c>
      <c r="J1" s="114" t="s">
        <v>635</v>
      </c>
      <c r="K1" s="116" t="s">
        <v>636</v>
      </c>
      <c r="L1" s="116" t="s">
        <v>637</v>
      </c>
      <c r="M1" s="114" t="s">
        <v>638</v>
      </c>
      <c r="N1" s="116" t="s">
        <v>639</v>
      </c>
      <c r="O1" s="117" t="s">
        <v>640</v>
      </c>
      <c r="P1" s="118" t="s">
        <v>641</v>
      </c>
      <c r="Q1" s="118" t="s">
        <v>642</v>
      </c>
      <c r="R1" s="119" t="s">
        <v>643</v>
      </c>
      <c r="S1" s="119" t="s">
        <v>644</v>
      </c>
      <c r="T1" s="119" t="s">
        <v>645</v>
      </c>
    </row>
    <row r="2" spans="1:20" ht="86.4">
      <c r="A2" s="60" t="s">
        <v>43</v>
      </c>
      <c r="B2" s="52" t="s">
        <v>267</v>
      </c>
      <c r="C2" s="34"/>
      <c r="D2" s="30" t="s">
        <v>268</v>
      </c>
      <c r="E2" s="30" t="s">
        <v>697</v>
      </c>
      <c r="F2" s="30"/>
      <c r="G2" s="105" t="s">
        <v>693</v>
      </c>
      <c r="H2" s="30"/>
      <c r="I2" s="106" t="s">
        <v>270</v>
      </c>
      <c r="J2" s="86" t="s">
        <v>650</v>
      </c>
      <c r="K2" s="30"/>
      <c r="L2" s="30">
        <v>299</v>
      </c>
      <c r="M2" s="30">
        <v>299</v>
      </c>
      <c r="N2" s="30">
        <f t="shared" ref="N2:N20" si="0">M2*4</f>
        <v>1196</v>
      </c>
      <c r="O2" s="35">
        <v>368</v>
      </c>
      <c r="P2" s="35">
        <f t="shared" ref="P2:P20" si="1">O2/1.15</f>
        <v>320</v>
      </c>
      <c r="Q2" s="35">
        <f t="shared" ref="Q2:Q20" si="2">N2*P2</f>
        <v>382720</v>
      </c>
      <c r="R2" s="35">
        <v>0</v>
      </c>
      <c r="S2" s="35">
        <f>Tabella25[[#This Row],[Importo 48 mesi]]+Tabella25[[#This Row],[Importo stimato per ricambi]]</f>
        <v>382720</v>
      </c>
      <c r="T2" s="53">
        <f>SUM(S2:S20)</f>
        <v>5936728.1495652171</v>
      </c>
    </row>
    <row r="3" spans="1:20" ht="72">
      <c r="A3" s="33" t="s">
        <v>43</v>
      </c>
      <c r="B3" s="54" t="s">
        <v>271</v>
      </c>
      <c r="C3" s="36"/>
      <c r="D3" s="37" t="s">
        <v>272</v>
      </c>
      <c r="E3" s="37" t="s">
        <v>273</v>
      </c>
      <c r="F3" s="37"/>
      <c r="G3" s="127" t="s">
        <v>693</v>
      </c>
      <c r="H3" s="37"/>
      <c r="I3" s="107" t="s">
        <v>698</v>
      </c>
      <c r="J3" s="88" t="s">
        <v>650</v>
      </c>
      <c r="K3" s="37"/>
      <c r="L3" s="37">
        <v>336</v>
      </c>
      <c r="M3" s="37">
        <v>400</v>
      </c>
      <c r="N3" s="37">
        <f t="shared" si="0"/>
        <v>1600</v>
      </c>
      <c r="O3" s="31">
        <v>720</v>
      </c>
      <c r="P3" s="31">
        <f t="shared" si="1"/>
        <v>626.08695652173913</v>
      </c>
      <c r="Q3" s="31">
        <f t="shared" si="2"/>
        <v>1001739.1304347826</v>
      </c>
      <c r="R3" s="31">
        <v>0</v>
      </c>
      <c r="S3" s="31">
        <f>Tabella25[[#This Row],[Importo 48 mesi]]+Tabella25[[#This Row],[Importo stimato per ricambi]]</f>
        <v>1001739.1304347826</v>
      </c>
      <c r="T3" s="55" t="str">
        <f>IF(COUNTIF($A$2:A3,A3)=1,SUMIF(A:A,A3,Q:Q),"")</f>
        <v/>
      </c>
    </row>
    <row r="4" spans="1:20" ht="72">
      <c r="A4" s="33" t="s">
        <v>43</v>
      </c>
      <c r="B4" s="54" t="s">
        <v>275</v>
      </c>
      <c r="C4" s="36"/>
      <c r="D4" s="37" t="s">
        <v>276</v>
      </c>
      <c r="E4" s="37" t="s">
        <v>277</v>
      </c>
      <c r="F4" s="37"/>
      <c r="G4" s="127" t="s">
        <v>693</v>
      </c>
      <c r="H4" s="37"/>
      <c r="I4" s="107" t="s">
        <v>270</v>
      </c>
      <c r="J4" s="88" t="s">
        <v>650</v>
      </c>
      <c r="K4" s="37"/>
      <c r="L4" s="37">
        <v>0</v>
      </c>
      <c r="M4" s="37">
        <v>20</v>
      </c>
      <c r="N4" s="37">
        <f t="shared" si="0"/>
        <v>80</v>
      </c>
      <c r="O4" s="31">
        <v>414.57499999999999</v>
      </c>
      <c r="P4" s="31">
        <f t="shared" si="1"/>
        <v>360.5</v>
      </c>
      <c r="Q4" s="31">
        <f t="shared" si="2"/>
        <v>28840</v>
      </c>
      <c r="R4" s="31">
        <v>0</v>
      </c>
      <c r="S4" s="31">
        <f>Tabella25[[#This Row],[Importo 48 mesi]]+Tabella25[[#This Row],[Importo stimato per ricambi]]</f>
        <v>28840</v>
      </c>
      <c r="T4" s="55" t="str">
        <f>IF(COUNTIF($A$2:A4,A4)=1,SUMIF(A:A,A4,Q:Q),"")</f>
        <v/>
      </c>
    </row>
    <row r="5" spans="1:20" ht="144">
      <c r="A5" s="33" t="s">
        <v>43</v>
      </c>
      <c r="B5" s="54" t="s">
        <v>278</v>
      </c>
      <c r="C5" s="36"/>
      <c r="D5" s="37" t="s">
        <v>279</v>
      </c>
      <c r="E5" s="37" t="s">
        <v>1324</v>
      </c>
      <c r="F5" s="37"/>
      <c r="G5" s="127" t="s">
        <v>693</v>
      </c>
      <c r="H5" s="37"/>
      <c r="I5" s="107" t="s">
        <v>699</v>
      </c>
      <c r="J5" s="88" t="s">
        <v>650</v>
      </c>
      <c r="K5" s="37"/>
      <c r="L5" s="37">
        <v>22</v>
      </c>
      <c r="M5" s="37">
        <v>77</v>
      </c>
      <c r="N5" s="37">
        <f t="shared" si="0"/>
        <v>308</v>
      </c>
      <c r="O5" s="31">
        <v>407.09999999999997</v>
      </c>
      <c r="P5" s="31">
        <f t="shared" si="1"/>
        <v>354</v>
      </c>
      <c r="Q5" s="31">
        <f t="shared" si="2"/>
        <v>109032</v>
      </c>
      <c r="R5" s="31">
        <v>0</v>
      </c>
      <c r="S5" s="31">
        <f>Tabella25[[#This Row],[Importo 48 mesi]]+Tabella25[[#This Row],[Importo stimato per ricambi]]</f>
        <v>109032</v>
      </c>
      <c r="T5" s="55" t="str">
        <f>IF(COUNTIF($A$2:A5,A5)=1,SUMIF(A:A,A5,Q:Q),"")</f>
        <v/>
      </c>
    </row>
    <row r="6" spans="1:20" ht="144">
      <c r="A6" s="33" t="s">
        <v>43</v>
      </c>
      <c r="B6" s="54" t="s">
        <v>281</v>
      </c>
      <c r="C6" s="36"/>
      <c r="D6" s="37" t="s">
        <v>282</v>
      </c>
      <c r="E6" s="37" t="s">
        <v>1325</v>
      </c>
      <c r="F6" s="37"/>
      <c r="G6" s="127" t="s">
        <v>693</v>
      </c>
      <c r="H6" s="37"/>
      <c r="I6" s="107" t="s">
        <v>699</v>
      </c>
      <c r="J6" s="88" t="s">
        <v>650</v>
      </c>
      <c r="K6" s="37"/>
      <c r="L6" s="37">
        <v>97</v>
      </c>
      <c r="M6" s="37">
        <v>97</v>
      </c>
      <c r="N6" s="37">
        <f t="shared" si="0"/>
        <v>388</v>
      </c>
      <c r="O6" s="31">
        <v>634.89200000000005</v>
      </c>
      <c r="P6" s="31">
        <f t="shared" si="1"/>
        <v>552.08000000000004</v>
      </c>
      <c r="Q6" s="31">
        <f t="shared" si="2"/>
        <v>214207.04</v>
      </c>
      <c r="R6" s="31">
        <v>0</v>
      </c>
      <c r="S6" s="31">
        <f>Tabella25[[#This Row],[Importo 48 mesi]]+Tabella25[[#This Row],[Importo stimato per ricambi]]</f>
        <v>214207.04</v>
      </c>
      <c r="T6" s="55" t="str">
        <f>IF(COUNTIF($A$2:A6,A6)=1,SUMIF(A:A,A6,Q:Q),"")</f>
        <v/>
      </c>
    </row>
    <row r="7" spans="1:20" ht="72">
      <c r="A7" s="33" t="s">
        <v>43</v>
      </c>
      <c r="B7" s="54" t="s">
        <v>284</v>
      </c>
      <c r="C7" s="36"/>
      <c r="D7" s="37" t="s">
        <v>285</v>
      </c>
      <c r="E7" s="37" t="s">
        <v>700</v>
      </c>
      <c r="F7" s="37"/>
      <c r="G7" s="127" t="s">
        <v>693</v>
      </c>
      <c r="H7" s="37"/>
      <c r="I7" s="107" t="s">
        <v>270</v>
      </c>
      <c r="J7" s="88" t="s">
        <v>650</v>
      </c>
      <c r="K7" s="37"/>
      <c r="L7" s="37">
        <v>0</v>
      </c>
      <c r="M7" s="37">
        <v>80</v>
      </c>
      <c r="N7" s="37">
        <f t="shared" si="0"/>
        <v>320</v>
      </c>
      <c r="O7" s="31">
        <v>273.7</v>
      </c>
      <c r="P7" s="31">
        <f t="shared" si="1"/>
        <v>238</v>
      </c>
      <c r="Q7" s="31">
        <f t="shared" si="2"/>
        <v>76160</v>
      </c>
      <c r="R7" s="31">
        <v>0</v>
      </c>
      <c r="S7" s="31">
        <f>Tabella25[[#This Row],[Importo 48 mesi]]+Tabella25[[#This Row],[Importo stimato per ricambi]]</f>
        <v>76160</v>
      </c>
      <c r="T7" s="55" t="str">
        <f>IF(COUNTIF($A$2:A7,A7)=1,SUMIF(A:A,A7,Q:Q),"")</f>
        <v/>
      </c>
    </row>
    <row r="8" spans="1:20" ht="57.6">
      <c r="A8" s="33" t="s">
        <v>43</v>
      </c>
      <c r="B8" s="54" t="s">
        <v>287</v>
      </c>
      <c r="C8" s="36"/>
      <c r="D8" s="37" t="s">
        <v>288</v>
      </c>
      <c r="E8" s="37" t="s">
        <v>289</v>
      </c>
      <c r="F8" s="37"/>
      <c r="G8" s="127" t="s">
        <v>693</v>
      </c>
      <c r="H8" s="37"/>
      <c r="I8" s="107" t="s">
        <v>270</v>
      </c>
      <c r="J8" s="88" t="s">
        <v>650</v>
      </c>
      <c r="K8" s="37"/>
      <c r="L8" s="37">
        <v>533</v>
      </c>
      <c r="M8" s="37">
        <v>533</v>
      </c>
      <c r="N8" s="37">
        <f t="shared" si="0"/>
        <v>2132</v>
      </c>
      <c r="O8" s="31">
        <v>756.69999999999993</v>
      </c>
      <c r="P8" s="31">
        <f t="shared" si="1"/>
        <v>658</v>
      </c>
      <c r="Q8" s="31">
        <f t="shared" si="2"/>
        <v>1402856</v>
      </c>
      <c r="R8" s="31">
        <v>0</v>
      </c>
      <c r="S8" s="31">
        <f>Tabella25[[#This Row],[Importo 48 mesi]]+Tabella25[[#This Row],[Importo stimato per ricambi]]</f>
        <v>1402856</v>
      </c>
      <c r="T8" s="55" t="str">
        <f>IF(COUNTIF($A$2:A8,A8)=1,SUMIF(A:A,A8,Q:Q),"")</f>
        <v/>
      </c>
    </row>
    <row r="9" spans="1:20" ht="72">
      <c r="A9" s="33" t="s">
        <v>43</v>
      </c>
      <c r="B9" s="54" t="s">
        <v>290</v>
      </c>
      <c r="C9" s="36"/>
      <c r="D9" s="37" t="s">
        <v>291</v>
      </c>
      <c r="E9" s="37" t="s">
        <v>292</v>
      </c>
      <c r="F9" s="37"/>
      <c r="G9" s="127" t="s">
        <v>693</v>
      </c>
      <c r="H9" s="37"/>
      <c r="I9" s="107" t="s">
        <v>701</v>
      </c>
      <c r="J9" s="88" t="s">
        <v>650</v>
      </c>
      <c r="K9" s="37"/>
      <c r="L9" s="37">
        <v>20</v>
      </c>
      <c r="M9" s="37">
        <v>131</v>
      </c>
      <c r="N9" s="37">
        <f t="shared" si="0"/>
        <v>524</v>
      </c>
      <c r="O9" s="31">
        <v>807.3</v>
      </c>
      <c r="P9" s="31">
        <f t="shared" si="1"/>
        <v>702</v>
      </c>
      <c r="Q9" s="31">
        <f t="shared" si="2"/>
        <v>367848</v>
      </c>
      <c r="R9" s="31">
        <v>0</v>
      </c>
      <c r="S9" s="31">
        <f>Tabella25[[#This Row],[Importo 48 mesi]]+Tabella25[[#This Row],[Importo stimato per ricambi]]</f>
        <v>367848</v>
      </c>
      <c r="T9" s="55" t="str">
        <f>IF(COUNTIF($A$2:A9,A9)=1,SUMIF(A:A,A9,Q:Q),"")</f>
        <v/>
      </c>
    </row>
    <row r="10" spans="1:20" ht="57.6">
      <c r="A10" s="33" t="s">
        <v>43</v>
      </c>
      <c r="B10" s="54" t="s">
        <v>294</v>
      </c>
      <c r="C10" s="36"/>
      <c r="D10" s="37" t="s">
        <v>295</v>
      </c>
      <c r="E10" s="37" t="s">
        <v>296</v>
      </c>
      <c r="F10" s="37"/>
      <c r="G10" s="127" t="s">
        <v>693</v>
      </c>
      <c r="H10" s="37"/>
      <c r="I10" s="107" t="s">
        <v>701</v>
      </c>
      <c r="J10" s="88" t="s">
        <v>650</v>
      </c>
      <c r="K10" s="37"/>
      <c r="L10" s="37">
        <v>309</v>
      </c>
      <c r="M10" s="37">
        <v>309</v>
      </c>
      <c r="N10" s="37">
        <f t="shared" si="0"/>
        <v>1236</v>
      </c>
      <c r="O10" s="31">
        <v>807.3</v>
      </c>
      <c r="P10" s="31">
        <f t="shared" si="1"/>
        <v>702</v>
      </c>
      <c r="Q10" s="31">
        <f t="shared" si="2"/>
        <v>867672</v>
      </c>
      <c r="R10" s="31">
        <v>0</v>
      </c>
      <c r="S10" s="31">
        <f>Tabella25[[#This Row],[Importo 48 mesi]]+Tabella25[[#This Row],[Importo stimato per ricambi]]</f>
        <v>867672</v>
      </c>
      <c r="T10" s="55" t="str">
        <f>IF(COUNTIF($A$2:A10,A10)=1,SUMIF(A:A,A10,Q:Q),"")</f>
        <v/>
      </c>
    </row>
    <row r="11" spans="1:20" ht="86.4">
      <c r="A11" s="33" t="s">
        <v>43</v>
      </c>
      <c r="B11" s="54" t="s">
        <v>297</v>
      </c>
      <c r="C11" s="36"/>
      <c r="D11" s="37" t="s">
        <v>298</v>
      </c>
      <c r="E11" s="37" t="s">
        <v>702</v>
      </c>
      <c r="F11" s="37"/>
      <c r="G11" s="127" t="s">
        <v>693</v>
      </c>
      <c r="H11" s="37"/>
      <c r="I11" s="107" t="s">
        <v>270</v>
      </c>
      <c r="J11" s="88" t="s">
        <v>650</v>
      </c>
      <c r="K11" s="37"/>
      <c r="L11" s="37">
        <v>257</v>
      </c>
      <c r="M11" s="37">
        <v>257</v>
      </c>
      <c r="N11" s="37">
        <f t="shared" si="0"/>
        <v>1028</v>
      </c>
      <c r="O11" s="31">
        <v>517.5</v>
      </c>
      <c r="P11" s="31">
        <f t="shared" si="1"/>
        <v>450.00000000000006</v>
      </c>
      <c r="Q11" s="31">
        <f t="shared" si="2"/>
        <v>462600.00000000006</v>
      </c>
      <c r="R11" s="31">
        <v>0</v>
      </c>
      <c r="S11" s="31">
        <f>Tabella25[[#This Row],[Importo 48 mesi]]+Tabella25[[#This Row],[Importo stimato per ricambi]]</f>
        <v>462600.00000000006</v>
      </c>
      <c r="T11" s="55" t="str">
        <f>IF(COUNTIF($A$2:A11,A11)=1,SUMIF(A:A,A11,Q:Q),"")</f>
        <v/>
      </c>
    </row>
    <row r="12" spans="1:20" ht="72">
      <c r="A12" s="33" t="s">
        <v>43</v>
      </c>
      <c r="B12" s="54" t="s">
        <v>301</v>
      </c>
      <c r="C12" s="36"/>
      <c r="D12" s="37" t="s">
        <v>302</v>
      </c>
      <c r="E12" s="37" t="s">
        <v>703</v>
      </c>
      <c r="F12" s="37"/>
      <c r="G12" s="127" t="s">
        <v>693</v>
      </c>
      <c r="H12" s="37"/>
      <c r="I12" s="107" t="s">
        <v>270</v>
      </c>
      <c r="J12" s="88" t="s">
        <v>650</v>
      </c>
      <c r="K12" s="37"/>
      <c r="L12" s="37">
        <v>0</v>
      </c>
      <c r="M12" s="37">
        <v>80</v>
      </c>
      <c r="N12" s="37">
        <f t="shared" si="0"/>
        <v>320</v>
      </c>
      <c r="O12" s="31">
        <v>770.49999999999989</v>
      </c>
      <c r="P12" s="31">
        <f t="shared" si="1"/>
        <v>670</v>
      </c>
      <c r="Q12" s="31">
        <f t="shared" si="2"/>
        <v>214400</v>
      </c>
      <c r="R12" s="31">
        <v>0</v>
      </c>
      <c r="S12" s="31">
        <f>Tabella25[[#This Row],[Importo 48 mesi]]+Tabella25[[#This Row],[Importo stimato per ricambi]]</f>
        <v>214400</v>
      </c>
      <c r="T12" s="55" t="str">
        <f>IF(COUNTIF($A$2:A12,A12)=1,SUMIF(A:A,A12,Q:Q),"")</f>
        <v/>
      </c>
    </row>
    <row r="13" spans="1:20" ht="72">
      <c r="A13" s="33" t="s">
        <v>43</v>
      </c>
      <c r="B13" s="54" t="s">
        <v>304</v>
      </c>
      <c r="C13" s="36"/>
      <c r="D13" s="37" t="s">
        <v>305</v>
      </c>
      <c r="E13" s="37" t="s">
        <v>1326</v>
      </c>
      <c r="F13" s="37"/>
      <c r="G13" s="127" t="s">
        <v>693</v>
      </c>
      <c r="H13" s="37"/>
      <c r="I13" s="107" t="s">
        <v>699</v>
      </c>
      <c r="J13" s="88" t="s">
        <v>650</v>
      </c>
      <c r="K13" s="37"/>
      <c r="L13" s="37">
        <v>0</v>
      </c>
      <c r="M13" s="37">
        <v>10</v>
      </c>
      <c r="N13" s="37">
        <f t="shared" si="0"/>
        <v>40</v>
      </c>
      <c r="O13" s="31">
        <v>1445.55</v>
      </c>
      <c r="P13" s="31">
        <f t="shared" si="1"/>
        <v>1257</v>
      </c>
      <c r="Q13" s="31">
        <f t="shared" si="2"/>
        <v>50280</v>
      </c>
      <c r="R13" s="31">
        <v>0</v>
      </c>
      <c r="S13" s="31">
        <f>Tabella25[[#This Row],[Importo 48 mesi]]+Tabella25[[#This Row],[Importo stimato per ricambi]]</f>
        <v>50280</v>
      </c>
      <c r="T13" s="55" t="str">
        <f>IF(COUNTIF($A$2:A13,A13)=1,SUMIF(A:A,A13,Q:Q),"")</f>
        <v/>
      </c>
    </row>
    <row r="14" spans="1:20" ht="100.8">
      <c r="A14" s="33" t="s">
        <v>43</v>
      </c>
      <c r="B14" s="54" t="s">
        <v>306</v>
      </c>
      <c r="C14" s="36"/>
      <c r="D14" s="37" t="s">
        <v>307</v>
      </c>
      <c r="E14" s="37" t="s">
        <v>308</v>
      </c>
      <c r="F14" s="37"/>
      <c r="G14" s="127"/>
      <c r="H14" s="37"/>
      <c r="I14" s="107" t="s">
        <v>309</v>
      </c>
      <c r="J14" s="88" t="s">
        <v>650</v>
      </c>
      <c r="K14" s="37"/>
      <c r="L14" s="37">
        <v>2410</v>
      </c>
      <c r="M14" s="37">
        <v>2410</v>
      </c>
      <c r="N14" s="37">
        <f t="shared" si="0"/>
        <v>9640</v>
      </c>
      <c r="O14" s="31">
        <v>17.25</v>
      </c>
      <c r="P14" s="31">
        <f t="shared" si="1"/>
        <v>15.000000000000002</v>
      </c>
      <c r="Q14" s="31">
        <f t="shared" si="2"/>
        <v>144600.00000000003</v>
      </c>
      <c r="R14" s="31">
        <v>0</v>
      </c>
      <c r="S14" s="31">
        <f>Tabella25[[#This Row],[Importo 48 mesi]]+Tabella25[[#This Row],[Importo stimato per ricambi]]</f>
        <v>144600.00000000003</v>
      </c>
      <c r="T14" s="55" t="str">
        <f>IF(COUNTIF($A$2:A14,A14)=1,SUMIF(A:A,A14,Q:Q),"")</f>
        <v/>
      </c>
    </row>
    <row r="15" spans="1:20" ht="129.6">
      <c r="A15" s="33" t="s">
        <v>43</v>
      </c>
      <c r="B15" s="54" t="s">
        <v>310</v>
      </c>
      <c r="C15" s="36"/>
      <c r="D15" s="37" t="s">
        <v>311</v>
      </c>
      <c r="E15" s="37" t="s">
        <v>312</v>
      </c>
      <c r="F15" s="37"/>
      <c r="G15" s="127"/>
      <c r="H15" s="107" t="s">
        <v>704</v>
      </c>
      <c r="I15" s="107" t="s">
        <v>705</v>
      </c>
      <c r="J15" s="88" t="s">
        <v>650</v>
      </c>
      <c r="K15" s="37"/>
      <c r="L15" s="37">
        <v>19</v>
      </c>
      <c r="M15" s="37">
        <v>19</v>
      </c>
      <c r="N15" s="37">
        <f t="shared" si="0"/>
        <v>76</v>
      </c>
      <c r="O15" s="31">
        <v>1928.366</v>
      </c>
      <c r="P15" s="31">
        <f t="shared" si="1"/>
        <v>1676.8400000000001</v>
      </c>
      <c r="Q15" s="31">
        <f t="shared" si="2"/>
        <v>127439.84000000001</v>
      </c>
      <c r="R15" s="31">
        <v>0</v>
      </c>
      <c r="S15" s="31">
        <f>Tabella25[[#This Row],[Importo 48 mesi]]+Tabella25[[#This Row],[Importo stimato per ricambi]]</f>
        <v>127439.84000000001</v>
      </c>
      <c r="T15" s="55" t="str">
        <f>IF(COUNTIF($A$2:A15,A15)=1,SUMIF(A:A,A15,Q:Q),"")</f>
        <v/>
      </c>
    </row>
    <row r="16" spans="1:20" ht="129.6">
      <c r="A16" s="33" t="s">
        <v>43</v>
      </c>
      <c r="B16" s="54" t="s">
        <v>314</v>
      </c>
      <c r="C16" s="36"/>
      <c r="D16" s="37" t="s">
        <v>315</v>
      </c>
      <c r="E16" s="37" t="s">
        <v>316</v>
      </c>
      <c r="F16" s="37"/>
      <c r="G16" s="127"/>
      <c r="H16" s="37"/>
      <c r="I16" s="107" t="s">
        <v>317</v>
      </c>
      <c r="J16" s="88" t="s">
        <v>650</v>
      </c>
      <c r="K16" s="37"/>
      <c r="L16" s="37">
        <v>74</v>
      </c>
      <c r="M16" s="37">
        <v>80</v>
      </c>
      <c r="N16" s="37">
        <f t="shared" si="0"/>
        <v>320</v>
      </c>
      <c r="O16" s="31">
        <v>0</v>
      </c>
      <c r="P16" s="31">
        <f t="shared" si="1"/>
        <v>0</v>
      </c>
      <c r="Q16" s="31">
        <f t="shared" si="2"/>
        <v>0</v>
      </c>
      <c r="R16" s="31">
        <v>0</v>
      </c>
      <c r="S16" s="31">
        <f>Tabella25[[#This Row],[Importo 48 mesi]]+Tabella25[[#This Row],[Importo stimato per ricambi]]</f>
        <v>0</v>
      </c>
      <c r="T16" s="55" t="str">
        <f>IF(COUNTIF($A$2:A16,A16)=1,SUMIF(A:A,A16,Q:Q),"")</f>
        <v/>
      </c>
    </row>
    <row r="17" spans="1:20" ht="72">
      <c r="A17" s="33" t="s">
        <v>43</v>
      </c>
      <c r="B17" s="54" t="s">
        <v>318</v>
      </c>
      <c r="C17" s="36"/>
      <c r="D17" s="37" t="s">
        <v>319</v>
      </c>
      <c r="E17" s="37" t="s">
        <v>320</v>
      </c>
      <c r="F17" s="37"/>
      <c r="G17" s="127"/>
      <c r="H17" s="37"/>
      <c r="I17" s="107" t="s">
        <v>321</v>
      </c>
      <c r="J17" s="88" t="s">
        <v>650</v>
      </c>
      <c r="K17" s="37"/>
      <c r="L17" s="37">
        <v>422</v>
      </c>
      <c r="M17" s="37">
        <v>422</v>
      </c>
      <c r="N17" s="37">
        <f t="shared" si="0"/>
        <v>1688</v>
      </c>
      <c r="O17" s="31">
        <v>120.74999999999999</v>
      </c>
      <c r="P17" s="31">
        <f t="shared" si="1"/>
        <v>105</v>
      </c>
      <c r="Q17" s="31">
        <f t="shared" si="2"/>
        <v>177240</v>
      </c>
      <c r="R17" s="31">
        <f>Tabella25[[#This Row],[Importo 48 mesi]]*0.01</f>
        <v>1772.4</v>
      </c>
      <c r="S17" s="31">
        <f>Tabella25[[#This Row],[Importo 48 mesi]]+Tabella25[[#This Row],[Importo stimato per ricambi]]</f>
        <v>179012.4</v>
      </c>
      <c r="T17" s="55" t="str">
        <f>IF(COUNTIF($A$2:A17,A17)=1,SUMIF(A:A,A17,Q:Q),"")</f>
        <v/>
      </c>
    </row>
    <row r="18" spans="1:20" ht="86.4">
      <c r="A18" s="33" t="s">
        <v>43</v>
      </c>
      <c r="B18" s="54" t="s">
        <v>322</v>
      </c>
      <c r="C18" s="36"/>
      <c r="D18" s="37" t="s">
        <v>323</v>
      </c>
      <c r="E18" s="37" t="s">
        <v>706</v>
      </c>
      <c r="F18" s="37"/>
      <c r="G18" s="127" t="s">
        <v>693</v>
      </c>
      <c r="H18" s="37"/>
      <c r="I18" s="107" t="s">
        <v>270</v>
      </c>
      <c r="J18" s="88" t="s">
        <v>650</v>
      </c>
      <c r="K18" s="37"/>
      <c r="L18" s="37">
        <v>0</v>
      </c>
      <c r="M18" s="37">
        <v>100</v>
      </c>
      <c r="N18" s="37">
        <f t="shared" si="0"/>
        <v>400</v>
      </c>
      <c r="O18" s="31">
        <v>50</v>
      </c>
      <c r="P18" s="31">
        <f t="shared" si="1"/>
        <v>43.478260869565219</v>
      </c>
      <c r="Q18" s="31">
        <f t="shared" si="2"/>
        <v>17391.304347826088</v>
      </c>
      <c r="R18" s="31">
        <v>0</v>
      </c>
      <c r="S18" s="31">
        <f>Tabella25[[#This Row],[Importo 48 mesi]]+Tabella25[[#This Row],[Importo stimato per ricambi]]</f>
        <v>17391.304347826088</v>
      </c>
      <c r="T18" s="55" t="str">
        <f>IF(COUNTIF($A$2:A18,A18)=1,SUMIF(A:A,A18,Q:Q),"")</f>
        <v/>
      </c>
    </row>
    <row r="19" spans="1:20" ht="86.4">
      <c r="A19" s="33" t="s">
        <v>43</v>
      </c>
      <c r="B19" s="54" t="s">
        <v>325</v>
      </c>
      <c r="C19" s="36"/>
      <c r="D19" s="37" t="s">
        <v>326</v>
      </c>
      <c r="E19" s="37" t="s">
        <v>707</v>
      </c>
      <c r="F19" s="37"/>
      <c r="G19" s="127" t="s">
        <v>693</v>
      </c>
      <c r="H19" s="37"/>
      <c r="I19" s="107" t="s">
        <v>270</v>
      </c>
      <c r="J19" s="88" t="s">
        <v>650</v>
      </c>
      <c r="K19" s="37"/>
      <c r="L19" s="37">
        <v>0</v>
      </c>
      <c r="M19" s="37">
        <v>100</v>
      </c>
      <c r="N19" s="37">
        <f t="shared" si="0"/>
        <v>400</v>
      </c>
      <c r="O19" s="31">
        <v>151.79999999999998</v>
      </c>
      <c r="P19" s="31">
        <f t="shared" si="1"/>
        <v>132</v>
      </c>
      <c r="Q19" s="31">
        <f t="shared" si="2"/>
        <v>52800</v>
      </c>
      <c r="R19" s="31">
        <v>0</v>
      </c>
      <c r="S19" s="31">
        <f>Tabella25[[#This Row],[Importo 48 mesi]]+Tabella25[[#This Row],[Importo stimato per ricambi]]</f>
        <v>52800</v>
      </c>
      <c r="T19" s="55" t="str">
        <f>IF(COUNTIF($A$2:A19,A19)=1,SUMIF(A:A,A19,Q:Q),"")</f>
        <v/>
      </c>
    </row>
    <row r="20" spans="1:20" ht="130.19999999999999" thickBot="1">
      <c r="A20" s="46" t="s">
        <v>43</v>
      </c>
      <c r="B20" s="58" t="s">
        <v>328</v>
      </c>
      <c r="C20" s="39"/>
      <c r="D20" s="38" t="s">
        <v>708</v>
      </c>
      <c r="E20" s="38" t="s">
        <v>709</v>
      </c>
      <c r="F20" s="38"/>
      <c r="G20" s="128"/>
      <c r="H20" s="38"/>
      <c r="I20" s="108" t="s">
        <v>710</v>
      </c>
      <c r="J20" s="101" t="s">
        <v>650</v>
      </c>
      <c r="K20" s="38">
        <v>2</v>
      </c>
      <c r="L20" s="38">
        <v>68</v>
      </c>
      <c r="M20" s="38">
        <v>225</v>
      </c>
      <c r="N20" s="38">
        <f t="shared" si="0"/>
        <v>900</v>
      </c>
      <c r="O20" s="32">
        <v>300</v>
      </c>
      <c r="P20" s="32">
        <f t="shared" si="1"/>
        <v>260.86956521739131</v>
      </c>
      <c r="Q20" s="32">
        <f t="shared" si="2"/>
        <v>234782.60869565219</v>
      </c>
      <c r="R20" s="32">
        <f>Tabella25[[#This Row],[Importo 48 mesi]]*0.01</f>
        <v>2347.826086956522</v>
      </c>
      <c r="S20" s="32">
        <f>Tabella25[[#This Row],[Importo 48 mesi]]+Tabella25[[#This Row],[Importo stimato per ricambi]]</f>
        <v>237130.4347826087</v>
      </c>
      <c r="T20" s="59" t="str">
        <f>IF(COUNTIF($A$2:A20,A20)=1,SUMIF(A:A,A20,Q:Q),"")</f>
        <v/>
      </c>
    </row>
    <row r="21" spans="1:20" ht="15" thickBot="1">
      <c r="A21" s="71"/>
      <c r="B21" s="83"/>
      <c r="C21" s="83"/>
      <c r="D21" s="84"/>
      <c r="E21" s="84"/>
      <c r="F21" s="84"/>
      <c r="G21" s="103"/>
      <c r="H21" s="103"/>
      <c r="I21" s="103"/>
      <c r="J21" s="84"/>
      <c r="K21" s="102"/>
      <c r="L21" s="84"/>
      <c r="M21" s="84"/>
      <c r="N21" s="84"/>
      <c r="O21" s="85"/>
      <c r="P21" s="85"/>
      <c r="Q21" s="85"/>
      <c r="R21" s="85"/>
      <c r="S21" s="85"/>
      <c r="T21" s="98">
        <f>SUM(Tabella25[Importo stimato per lotto])</f>
        <v>5936728.1495652171</v>
      </c>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3000-1586-493E-922C-5C57A7D94421}">
  <dimension ref="A1:T35"/>
  <sheetViews>
    <sheetView zoomScale="60" zoomScaleNormal="60" workbookViewId="0">
      <selection activeCell="C1" sqref="C1"/>
    </sheetView>
  </sheetViews>
  <sheetFormatPr defaultColWidth="9.21875" defaultRowHeight="14.4"/>
  <cols>
    <col min="1" max="1" width="11.5546875" style="50" bestFit="1" customWidth="1"/>
    <col min="2" max="2" width="17.109375" style="50" bestFit="1" customWidth="1"/>
    <col min="3" max="3" width="23.44140625" style="50" bestFit="1" customWidth="1"/>
    <col min="4" max="4" width="38.44140625" bestFit="1" customWidth="1"/>
    <col min="5" max="5" width="72.33203125" bestFit="1" customWidth="1"/>
    <col min="6" max="6" width="27.33203125" bestFit="1" customWidth="1"/>
    <col min="7" max="7" width="15.88671875" style="104" bestFit="1" customWidth="1"/>
    <col min="8" max="8" width="22.6640625" style="104" bestFit="1" customWidth="1"/>
    <col min="9" max="9" width="42.5546875" style="104" bestFit="1" customWidth="1"/>
    <col min="10" max="10" width="29.21875" bestFit="1" customWidth="1"/>
    <col min="11" max="11" width="26.5546875" style="3" bestFit="1" customWidth="1"/>
    <col min="12" max="12" width="30.33203125" bestFit="1" customWidth="1"/>
    <col min="13" max="13" width="23.6640625" bestFit="1" customWidth="1"/>
    <col min="14" max="14" width="34" bestFit="1" customWidth="1"/>
    <col min="15" max="15" width="26.21875" bestFit="1" customWidth="1"/>
    <col min="16" max="16" width="30.109375" style="44" bestFit="1" customWidth="1"/>
    <col min="17" max="17" width="29.77734375" style="44" bestFit="1" customWidth="1"/>
    <col min="18" max="18" width="29" bestFit="1" customWidth="1"/>
    <col min="19" max="19" width="25.33203125" style="51" bestFit="1" customWidth="1"/>
    <col min="20" max="20" width="29" bestFit="1" customWidth="1"/>
    <col min="21" max="21" width="14.21875" bestFit="1" customWidth="1"/>
  </cols>
  <sheetData>
    <row r="1" spans="1:20" ht="49.2" thickBot="1">
      <c r="A1" s="113" t="s">
        <v>626</v>
      </c>
      <c r="B1" s="113" t="s">
        <v>627</v>
      </c>
      <c r="C1" s="113" t="s">
        <v>628</v>
      </c>
      <c r="D1" s="114" t="s">
        <v>629</v>
      </c>
      <c r="E1" s="114" t="s">
        <v>630</v>
      </c>
      <c r="F1" s="114" t="s">
        <v>631</v>
      </c>
      <c r="G1" s="115" t="s">
        <v>632</v>
      </c>
      <c r="H1" s="115" t="s">
        <v>633</v>
      </c>
      <c r="I1" s="115" t="s">
        <v>634</v>
      </c>
      <c r="J1" s="114" t="s">
        <v>635</v>
      </c>
      <c r="K1" s="116" t="s">
        <v>636</v>
      </c>
      <c r="L1" s="116" t="s">
        <v>637</v>
      </c>
      <c r="M1" s="114" t="s">
        <v>638</v>
      </c>
      <c r="N1" s="116" t="s">
        <v>639</v>
      </c>
      <c r="O1" s="117" t="s">
        <v>640</v>
      </c>
      <c r="P1" s="118" t="s">
        <v>641</v>
      </c>
      <c r="Q1" s="118" t="s">
        <v>642</v>
      </c>
      <c r="R1" s="119" t="s">
        <v>643</v>
      </c>
      <c r="S1" s="119" t="s">
        <v>644</v>
      </c>
      <c r="T1" s="119" t="s">
        <v>645</v>
      </c>
    </row>
    <row r="2" spans="1:20" ht="86.4">
      <c r="A2" s="60" t="s">
        <v>32</v>
      </c>
      <c r="B2" s="52" t="s">
        <v>179</v>
      </c>
      <c r="C2" s="34"/>
      <c r="D2" s="30" t="s">
        <v>180</v>
      </c>
      <c r="E2" s="37" t="s">
        <v>711</v>
      </c>
      <c r="F2" s="110" t="s">
        <v>1327</v>
      </c>
      <c r="G2" s="124" t="s">
        <v>712</v>
      </c>
      <c r="H2" s="30"/>
      <c r="I2" s="106" t="s">
        <v>172</v>
      </c>
      <c r="J2" s="86" t="s">
        <v>650</v>
      </c>
      <c r="K2" s="30">
        <v>2</v>
      </c>
      <c r="L2" s="30">
        <v>488</v>
      </c>
      <c r="M2" s="30">
        <v>550</v>
      </c>
      <c r="N2" s="30">
        <f t="shared" ref="N2:N32" si="0">M2*4</f>
        <v>2200</v>
      </c>
      <c r="O2" s="35">
        <v>106.01849999999999</v>
      </c>
      <c r="P2" s="35">
        <f t="shared" ref="P2:P34" si="1">O2/1.15</f>
        <v>92.19</v>
      </c>
      <c r="Q2" s="35">
        <f t="shared" ref="Q2:Q34" si="2">N2*P2</f>
        <v>202818</v>
      </c>
      <c r="R2" s="35">
        <v>0</v>
      </c>
      <c r="S2" s="35">
        <f>Tabella24[[#This Row],[Importo 48 mesi]]+Tabella24[[#This Row],[Importo stimato per ricambi]]</f>
        <v>202818</v>
      </c>
      <c r="T2" s="53">
        <f>SUM(S2:S32)</f>
        <v>3708702.7982608699</v>
      </c>
    </row>
    <row r="3" spans="1:20" ht="86.4">
      <c r="A3" s="33" t="s">
        <v>32</v>
      </c>
      <c r="B3" s="54" t="s">
        <v>182</v>
      </c>
      <c r="C3" s="36"/>
      <c r="D3" s="37" t="s">
        <v>183</v>
      </c>
      <c r="E3" s="45" t="s">
        <v>713</v>
      </c>
      <c r="F3" s="45" t="s">
        <v>1327</v>
      </c>
      <c r="G3" s="125" t="s">
        <v>712</v>
      </c>
      <c r="H3" s="37"/>
      <c r="I3" s="107" t="s">
        <v>172</v>
      </c>
      <c r="J3" s="88" t="s">
        <v>650</v>
      </c>
      <c r="K3" s="37">
        <v>2</v>
      </c>
      <c r="L3" s="37">
        <v>30</v>
      </c>
      <c r="M3" s="37">
        <v>30</v>
      </c>
      <c r="N3" s="37">
        <f t="shared" si="0"/>
        <v>120</v>
      </c>
      <c r="O3" s="31">
        <v>157.5385</v>
      </c>
      <c r="P3" s="31">
        <f t="shared" si="1"/>
        <v>136.99</v>
      </c>
      <c r="Q3" s="31">
        <f t="shared" si="2"/>
        <v>16438.800000000003</v>
      </c>
      <c r="R3" s="31">
        <v>0</v>
      </c>
      <c r="S3" s="31">
        <f>Tabella24[[#This Row],[Importo 48 mesi]]+Tabella24[[#This Row],[Importo stimato per ricambi]]</f>
        <v>16438.800000000003</v>
      </c>
      <c r="T3" s="55" t="str">
        <f>IF(COUNTIF($A$2:A3,A3)=1,SUMIF(A:A,A3,Q:Q),"")</f>
        <v/>
      </c>
    </row>
    <row r="4" spans="1:20" ht="43.2">
      <c r="A4" s="33" t="s">
        <v>32</v>
      </c>
      <c r="B4" s="54" t="s">
        <v>184</v>
      </c>
      <c r="C4" s="36"/>
      <c r="D4" s="37" t="s">
        <v>185</v>
      </c>
      <c r="E4" s="37" t="s">
        <v>714</v>
      </c>
      <c r="F4" s="37" t="s">
        <v>1328</v>
      </c>
      <c r="G4" s="125" t="s">
        <v>712</v>
      </c>
      <c r="H4" s="37"/>
      <c r="I4" s="107" t="s">
        <v>172</v>
      </c>
      <c r="J4" s="88" t="s">
        <v>650</v>
      </c>
      <c r="K4" s="37">
        <v>1</v>
      </c>
      <c r="L4" s="37">
        <v>23</v>
      </c>
      <c r="M4" s="37">
        <v>23</v>
      </c>
      <c r="N4" s="37">
        <f t="shared" si="0"/>
        <v>92</v>
      </c>
      <c r="O4" s="31">
        <v>578.03599999999994</v>
      </c>
      <c r="P4" s="31">
        <f t="shared" si="1"/>
        <v>502.64</v>
      </c>
      <c r="Q4" s="31">
        <f t="shared" si="2"/>
        <v>46242.879999999997</v>
      </c>
      <c r="R4" s="31">
        <v>0</v>
      </c>
      <c r="S4" s="31">
        <f>Tabella24[[#This Row],[Importo 48 mesi]]+Tabella24[[#This Row],[Importo stimato per ricambi]]</f>
        <v>46242.879999999997</v>
      </c>
      <c r="T4" s="55" t="str">
        <f>IF(COUNTIF($A$2:A4,A4)=1,SUMIF(A:A,A4,Q:Q),"")</f>
        <v/>
      </c>
    </row>
    <row r="5" spans="1:20" ht="100.8">
      <c r="A5" s="33" t="s">
        <v>32</v>
      </c>
      <c r="B5" s="54" t="s">
        <v>186</v>
      </c>
      <c r="C5" s="36"/>
      <c r="D5" s="37" t="s">
        <v>187</v>
      </c>
      <c r="E5" s="37" t="s">
        <v>715</v>
      </c>
      <c r="F5" s="37" t="s">
        <v>1329</v>
      </c>
      <c r="G5" s="125" t="s">
        <v>712</v>
      </c>
      <c r="H5" s="37"/>
      <c r="I5" s="107" t="s">
        <v>172</v>
      </c>
      <c r="J5" s="88" t="s">
        <v>650</v>
      </c>
      <c r="K5" s="37">
        <v>2</v>
      </c>
      <c r="L5" s="37">
        <v>0</v>
      </c>
      <c r="M5" s="37">
        <v>13</v>
      </c>
      <c r="N5" s="37">
        <f t="shared" si="0"/>
        <v>52</v>
      </c>
      <c r="O5" s="31">
        <v>245.19149999999999</v>
      </c>
      <c r="P5" s="31">
        <f t="shared" si="1"/>
        <v>213.21</v>
      </c>
      <c r="Q5" s="31">
        <f t="shared" si="2"/>
        <v>11086.92</v>
      </c>
      <c r="R5" s="31">
        <v>0</v>
      </c>
      <c r="S5" s="31">
        <f>Tabella24[[#This Row],[Importo 48 mesi]]+Tabella24[[#This Row],[Importo stimato per ricambi]]</f>
        <v>11086.92</v>
      </c>
      <c r="T5" s="55" t="str">
        <f>IF(COUNTIF($A$2:A5,A5)=1,SUMIF(A:A,A5,Q:Q),"")</f>
        <v/>
      </c>
    </row>
    <row r="6" spans="1:20" ht="115.2">
      <c r="A6" s="33" t="s">
        <v>32</v>
      </c>
      <c r="B6" s="54" t="s">
        <v>188</v>
      </c>
      <c r="C6" s="36"/>
      <c r="D6" s="37" t="s">
        <v>189</v>
      </c>
      <c r="E6" s="37" t="s">
        <v>716</v>
      </c>
      <c r="F6" s="37" t="s">
        <v>1330</v>
      </c>
      <c r="G6" s="125" t="s">
        <v>712</v>
      </c>
      <c r="H6" s="37"/>
      <c r="I6" s="107" t="s">
        <v>190</v>
      </c>
      <c r="J6" s="88" t="s">
        <v>650</v>
      </c>
      <c r="K6" s="37">
        <v>2</v>
      </c>
      <c r="L6" s="37">
        <v>8</v>
      </c>
      <c r="M6" s="37">
        <v>11</v>
      </c>
      <c r="N6" s="37">
        <f t="shared" si="0"/>
        <v>44</v>
      </c>
      <c r="O6" s="31">
        <v>114.89649999999999</v>
      </c>
      <c r="P6" s="31">
        <f t="shared" si="1"/>
        <v>99.91</v>
      </c>
      <c r="Q6" s="31">
        <f t="shared" si="2"/>
        <v>4396.04</v>
      </c>
      <c r="R6" s="31">
        <v>0</v>
      </c>
      <c r="S6" s="31">
        <f>Tabella24[[#This Row],[Importo 48 mesi]]+Tabella24[[#This Row],[Importo stimato per ricambi]]</f>
        <v>4396.04</v>
      </c>
      <c r="T6" s="55" t="str">
        <f>IF(COUNTIF($A$2:A6,A6)=1,SUMIF(A:A,A6,Q:Q),"")</f>
        <v/>
      </c>
    </row>
    <row r="7" spans="1:20" ht="72">
      <c r="A7" s="33" t="s">
        <v>32</v>
      </c>
      <c r="B7" s="54" t="s">
        <v>191</v>
      </c>
      <c r="C7" s="36"/>
      <c r="D7" s="37" t="s">
        <v>192</v>
      </c>
      <c r="E7" s="37" t="s">
        <v>717</v>
      </c>
      <c r="F7" s="37" t="s">
        <v>1330</v>
      </c>
      <c r="G7" s="125" t="s">
        <v>712</v>
      </c>
      <c r="H7" s="107"/>
      <c r="I7" s="107" t="s">
        <v>190</v>
      </c>
      <c r="J7" s="88" t="s">
        <v>650</v>
      </c>
      <c r="K7" s="37">
        <v>2</v>
      </c>
      <c r="L7" s="37">
        <v>521</v>
      </c>
      <c r="M7" s="37">
        <v>521</v>
      </c>
      <c r="N7" s="37">
        <f t="shared" si="0"/>
        <v>2084</v>
      </c>
      <c r="O7" s="31">
        <v>157.5385</v>
      </c>
      <c r="P7" s="31">
        <f t="shared" si="1"/>
        <v>136.99</v>
      </c>
      <c r="Q7" s="31">
        <f t="shared" si="2"/>
        <v>285487.16000000003</v>
      </c>
      <c r="R7" s="31">
        <v>0</v>
      </c>
      <c r="S7" s="31">
        <f>Tabella24[[#This Row],[Importo 48 mesi]]+Tabella24[[#This Row],[Importo stimato per ricambi]]</f>
        <v>285487.16000000003</v>
      </c>
      <c r="T7" s="55" t="str">
        <f>IF(COUNTIF($A$2:A7,A7)=1,SUMIF(A:A,A7,Q:Q),"")</f>
        <v/>
      </c>
    </row>
    <row r="8" spans="1:20" ht="86.4">
      <c r="A8" s="33" t="s">
        <v>32</v>
      </c>
      <c r="B8" s="54" t="s">
        <v>193</v>
      </c>
      <c r="C8" s="36"/>
      <c r="D8" s="37" t="s">
        <v>194</v>
      </c>
      <c r="E8" s="37" t="s">
        <v>718</v>
      </c>
      <c r="F8" s="37" t="s">
        <v>1331</v>
      </c>
      <c r="G8" s="125" t="s">
        <v>712</v>
      </c>
      <c r="H8" s="107"/>
      <c r="I8" s="107" t="s">
        <v>195</v>
      </c>
      <c r="J8" s="88" t="s">
        <v>650</v>
      </c>
      <c r="K8" s="37">
        <v>1</v>
      </c>
      <c r="L8" s="37">
        <v>0</v>
      </c>
      <c r="M8" s="37">
        <v>5</v>
      </c>
      <c r="N8" s="37">
        <f t="shared" si="0"/>
        <v>20</v>
      </c>
      <c r="O8" s="31">
        <v>317.39999999999998</v>
      </c>
      <c r="P8" s="31">
        <f t="shared" si="1"/>
        <v>276</v>
      </c>
      <c r="Q8" s="31">
        <f t="shared" si="2"/>
        <v>5520</v>
      </c>
      <c r="R8" s="31">
        <v>0</v>
      </c>
      <c r="S8" s="31">
        <f>Tabella24[[#This Row],[Importo 48 mesi]]+Tabella24[[#This Row],[Importo stimato per ricambi]]</f>
        <v>5520</v>
      </c>
      <c r="T8" s="55" t="str">
        <f>IF(COUNTIF($A$2:A8,A8)=1,SUMIF(A:A,A8,Q:Q),"")</f>
        <v/>
      </c>
    </row>
    <row r="9" spans="1:20" ht="72">
      <c r="A9" s="33" t="s">
        <v>32</v>
      </c>
      <c r="B9" s="54" t="s">
        <v>196</v>
      </c>
      <c r="C9" s="36"/>
      <c r="D9" s="37" t="s">
        <v>197</v>
      </c>
      <c r="E9" s="37" t="s">
        <v>719</v>
      </c>
      <c r="F9" s="37" t="s">
        <v>1330</v>
      </c>
      <c r="G9" s="125" t="s">
        <v>712</v>
      </c>
      <c r="H9" s="107"/>
      <c r="I9" s="107" t="s">
        <v>198</v>
      </c>
      <c r="J9" s="88" t="s">
        <v>650</v>
      </c>
      <c r="K9" s="37">
        <v>2</v>
      </c>
      <c r="L9" s="37">
        <v>1237</v>
      </c>
      <c r="M9" s="37">
        <v>1237</v>
      </c>
      <c r="N9" s="37">
        <f t="shared" si="0"/>
        <v>4948</v>
      </c>
      <c r="O9" s="31">
        <v>144.50899999999999</v>
      </c>
      <c r="P9" s="31">
        <f t="shared" si="1"/>
        <v>125.66</v>
      </c>
      <c r="Q9" s="31">
        <f t="shared" si="2"/>
        <v>621765.67999999993</v>
      </c>
      <c r="R9" s="31">
        <v>0</v>
      </c>
      <c r="S9" s="31">
        <f>Tabella24[[#This Row],[Importo 48 mesi]]+Tabella24[[#This Row],[Importo stimato per ricambi]]</f>
        <v>621765.67999999993</v>
      </c>
      <c r="T9" s="55" t="str">
        <f>IF(COUNTIF($A$2:A9,A9)=1,SUMIF(A:A,A9,Q:Q),"")</f>
        <v/>
      </c>
    </row>
    <row r="10" spans="1:20" ht="129.6">
      <c r="A10" s="33" t="s">
        <v>32</v>
      </c>
      <c r="B10" s="54" t="s">
        <v>199</v>
      </c>
      <c r="C10" s="36"/>
      <c r="D10" s="37" t="s">
        <v>200</v>
      </c>
      <c r="E10" s="37" t="s">
        <v>720</v>
      </c>
      <c r="F10" s="37" t="s">
        <v>721</v>
      </c>
      <c r="G10" s="125"/>
      <c r="H10" s="107"/>
      <c r="I10" s="107" t="s">
        <v>201</v>
      </c>
      <c r="J10" s="88" t="s">
        <v>650</v>
      </c>
      <c r="K10" s="37">
        <v>1</v>
      </c>
      <c r="L10" s="37">
        <v>11</v>
      </c>
      <c r="M10" s="37">
        <v>35</v>
      </c>
      <c r="N10" s="37">
        <f t="shared" si="0"/>
        <v>140</v>
      </c>
      <c r="O10" s="31">
        <v>651.47499999999991</v>
      </c>
      <c r="P10" s="31">
        <f t="shared" si="1"/>
        <v>566.5</v>
      </c>
      <c r="Q10" s="31">
        <f t="shared" si="2"/>
        <v>79310</v>
      </c>
      <c r="R10" s="31">
        <v>0</v>
      </c>
      <c r="S10" s="31">
        <f>Tabella24[[#This Row],[Importo 48 mesi]]+Tabella24[[#This Row],[Importo stimato per ricambi]]</f>
        <v>79310</v>
      </c>
      <c r="T10" s="55" t="str">
        <f>IF(COUNTIF($A$2:A10,A10)=1,SUMIF(A:A,A10,Q:Q),"")</f>
        <v/>
      </c>
    </row>
    <row r="11" spans="1:20" ht="43.2">
      <c r="A11" s="33" t="s">
        <v>32</v>
      </c>
      <c r="B11" s="54" t="s">
        <v>202</v>
      </c>
      <c r="C11" s="36" t="s">
        <v>722</v>
      </c>
      <c r="D11" s="37" t="s">
        <v>171</v>
      </c>
      <c r="E11" s="37" t="s">
        <v>723</v>
      </c>
      <c r="F11" s="37" t="s">
        <v>1330</v>
      </c>
      <c r="G11" s="125"/>
      <c r="H11" s="37"/>
      <c r="I11" s="107" t="s">
        <v>172</v>
      </c>
      <c r="J11" s="88" t="s">
        <v>650</v>
      </c>
      <c r="K11" s="37">
        <v>2</v>
      </c>
      <c r="L11" s="37">
        <v>0</v>
      </c>
      <c r="M11" s="37">
        <v>5</v>
      </c>
      <c r="N11" s="37">
        <f t="shared" si="0"/>
        <v>20</v>
      </c>
      <c r="O11" s="31">
        <v>700.34999999999991</v>
      </c>
      <c r="P11" s="31">
        <f t="shared" si="1"/>
        <v>609</v>
      </c>
      <c r="Q11" s="31">
        <f t="shared" si="2"/>
        <v>12180</v>
      </c>
      <c r="R11" s="31">
        <v>0</v>
      </c>
      <c r="S11" s="31">
        <f>Tabella24[[#This Row],[Importo 48 mesi]]+Tabella24[[#This Row],[Importo stimato per ricambi]]</f>
        <v>12180</v>
      </c>
      <c r="T11" s="55" t="str">
        <f>IF(COUNTIF($A$2:A11,A11)=1,SUMIF(A:A,A11,Q:Q),"")</f>
        <v/>
      </c>
    </row>
    <row r="12" spans="1:20" ht="43.2">
      <c r="A12" s="33" t="s">
        <v>32</v>
      </c>
      <c r="B12" s="54" t="s">
        <v>205</v>
      </c>
      <c r="C12" s="36" t="s">
        <v>722</v>
      </c>
      <c r="D12" s="37" t="s">
        <v>174</v>
      </c>
      <c r="E12" s="37" t="s">
        <v>724</v>
      </c>
      <c r="F12" s="37" t="s">
        <v>1330</v>
      </c>
      <c r="G12" s="125"/>
      <c r="H12" s="37"/>
      <c r="I12" s="107" t="s">
        <v>172</v>
      </c>
      <c r="J12" s="88" t="s">
        <v>650</v>
      </c>
      <c r="K12" s="37">
        <v>2</v>
      </c>
      <c r="L12" s="37">
        <v>2</v>
      </c>
      <c r="M12" s="37">
        <v>5</v>
      </c>
      <c r="N12" s="37">
        <f t="shared" si="0"/>
        <v>20</v>
      </c>
      <c r="O12" s="31">
        <v>1869.8999999999999</v>
      </c>
      <c r="P12" s="31">
        <f t="shared" si="1"/>
        <v>1626</v>
      </c>
      <c r="Q12" s="31">
        <f t="shared" si="2"/>
        <v>32520</v>
      </c>
      <c r="R12" s="31">
        <v>0</v>
      </c>
      <c r="S12" s="31">
        <f>Tabella24[[#This Row],[Importo 48 mesi]]+Tabella24[[#This Row],[Importo stimato per ricambi]]</f>
        <v>32520</v>
      </c>
      <c r="T12" s="55" t="str">
        <f>IF(COUNTIF($A$2:A12,A12)=1,SUMIF(A:A,A12,Q:Q),"")</f>
        <v/>
      </c>
    </row>
    <row r="13" spans="1:20" ht="86.4">
      <c r="A13" s="33" t="s">
        <v>32</v>
      </c>
      <c r="B13" s="54" t="s">
        <v>206</v>
      </c>
      <c r="C13" s="36"/>
      <c r="D13" s="37" t="s">
        <v>177</v>
      </c>
      <c r="E13" s="37" t="s">
        <v>725</v>
      </c>
      <c r="F13" s="37" t="s">
        <v>1330</v>
      </c>
      <c r="G13" s="125" t="s">
        <v>712</v>
      </c>
      <c r="H13" s="37"/>
      <c r="I13" s="107" t="s">
        <v>178</v>
      </c>
      <c r="J13" s="88" t="s">
        <v>650</v>
      </c>
      <c r="K13" s="37">
        <v>2</v>
      </c>
      <c r="L13" s="37">
        <v>29</v>
      </c>
      <c r="M13" s="37">
        <v>60</v>
      </c>
      <c r="N13" s="37">
        <f t="shared" si="0"/>
        <v>240</v>
      </c>
      <c r="O13" s="31">
        <v>700.34999999999991</v>
      </c>
      <c r="P13" s="31">
        <f t="shared" si="1"/>
        <v>609</v>
      </c>
      <c r="Q13" s="31">
        <f t="shared" si="2"/>
        <v>146160</v>
      </c>
      <c r="R13" s="31">
        <v>0</v>
      </c>
      <c r="S13" s="31">
        <f>Tabella24[[#This Row],[Importo 48 mesi]]+Tabella24[[#This Row],[Importo stimato per ricambi]]</f>
        <v>146160</v>
      </c>
      <c r="T13" s="55" t="str">
        <f>IF(COUNTIF($A$2:A13,A13)=1,SUMIF(A:A,A13,Q:Q),"")</f>
        <v/>
      </c>
    </row>
    <row r="14" spans="1:20" ht="57.6">
      <c r="A14" s="33" t="s">
        <v>32</v>
      </c>
      <c r="B14" s="54" t="s">
        <v>208</v>
      </c>
      <c r="C14" s="36"/>
      <c r="D14" s="37" t="s">
        <v>203</v>
      </c>
      <c r="E14" s="37" t="s">
        <v>726</v>
      </c>
      <c r="F14" s="37" t="s">
        <v>1332</v>
      </c>
      <c r="G14" s="125" t="s">
        <v>712</v>
      </c>
      <c r="H14" s="37"/>
      <c r="I14" s="107" t="s">
        <v>204</v>
      </c>
      <c r="J14" s="88" t="s">
        <v>650</v>
      </c>
      <c r="K14" s="37">
        <v>2</v>
      </c>
      <c r="L14" s="37">
        <v>238</v>
      </c>
      <c r="M14" s="37">
        <v>300</v>
      </c>
      <c r="N14" s="37">
        <f t="shared" si="0"/>
        <v>1200</v>
      </c>
      <c r="O14" s="31">
        <v>94.17349999999999</v>
      </c>
      <c r="P14" s="31">
        <f t="shared" si="1"/>
        <v>81.89</v>
      </c>
      <c r="Q14" s="31">
        <f t="shared" si="2"/>
        <v>98268</v>
      </c>
      <c r="R14" s="31">
        <v>0</v>
      </c>
      <c r="S14" s="31">
        <f>Tabella24[[#This Row],[Importo 48 mesi]]+Tabella24[[#This Row],[Importo stimato per ricambi]]</f>
        <v>98268</v>
      </c>
      <c r="T14" s="55" t="str">
        <f>IF(COUNTIF($A$2:A14,A14)=1,SUMIF(A:A,A14,Q:Q),"")</f>
        <v/>
      </c>
    </row>
    <row r="15" spans="1:20" ht="57.6">
      <c r="A15" s="33" t="s">
        <v>32</v>
      </c>
      <c r="B15" s="54" t="s">
        <v>211</v>
      </c>
      <c r="C15" s="36"/>
      <c r="D15" s="37" t="s">
        <v>1246</v>
      </c>
      <c r="E15" s="37" t="s">
        <v>727</v>
      </c>
      <c r="F15" s="37" t="s">
        <v>1332</v>
      </c>
      <c r="G15" s="125" t="s">
        <v>712</v>
      </c>
      <c r="H15" s="37"/>
      <c r="I15" s="107" t="s">
        <v>204</v>
      </c>
      <c r="J15" s="88" t="s">
        <v>650</v>
      </c>
      <c r="K15" s="37">
        <v>2</v>
      </c>
      <c r="L15" s="37">
        <v>63</v>
      </c>
      <c r="M15" s="37">
        <v>63</v>
      </c>
      <c r="N15" s="37">
        <f t="shared" si="0"/>
        <v>252</v>
      </c>
      <c r="O15" s="31">
        <v>170.56799999999998</v>
      </c>
      <c r="P15" s="31">
        <f t="shared" si="1"/>
        <v>148.32</v>
      </c>
      <c r="Q15" s="31">
        <f t="shared" si="2"/>
        <v>37376.639999999999</v>
      </c>
      <c r="R15" s="31">
        <v>0</v>
      </c>
      <c r="S15" s="31">
        <f>Tabella24[[#This Row],[Importo 48 mesi]]+Tabella24[[#This Row],[Importo stimato per ricambi]]</f>
        <v>37376.639999999999</v>
      </c>
      <c r="T15" s="55" t="str">
        <f>IF(COUNTIF($A$2:A15,A15)=1,SUMIF(A:A,A15,Q:Q),"")</f>
        <v/>
      </c>
    </row>
    <row r="16" spans="1:20" ht="57.6">
      <c r="A16" s="33" t="s">
        <v>32</v>
      </c>
      <c r="B16" s="54" t="s">
        <v>214</v>
      </c>
      <c r="C16" s="36"/>
      <c r="D16" s="37" t="s">
        <v>207</v>
      </c>
      <c r="E16" s="37" t="s">
        <v>728</v>
      </c>
      <c r="F16" s="37" t="s">
        <v>1332</v>
      </c>
      <c r="G16" s="125" t="s">
        <v>712</v>
      </c>
      <c r="H16" s="37"/>
      <c r="I16" s="107" t="s">
        <v>204</v>
      </c>
      <c r="J16" s="88" t="s">
        <v>650</v>
      </c>
      <c r="K16" s="37">
        <v>2</v>
      </c>
      <c r="L16" s="37">
        <v>35</v>
      </c>
      <c r="M16" s="37">
        <v>350</v>
      </c>
      <c r="N16" s="37">
        <f t="shared" si="0"/>
        <v>1400</v>
      </c>
      <c r="O16" s="31">
        <v>47.977999999999994</v>
      </c>
      <c r="P16" s="31">
        <f t="shared" si="1"/>
        <v>41.72</v>
      </c>
      <c r="Q16" s="31">
        <f t="shared" si="2"/>
        <v>58408</v>
      </c>
      <c r="R16" s="31">
        <v>0</v>
      </c>
      <c r="S16" s="31">
        <f>Tabella24[[#This Row],[Importo 48 mesi]]+Tabella24[[#This Row],[Importo stimato per ricambi]]</f>
        <v>58408</v>
      </c>
      <c r="T16" s="55" t="str">
        <f>IF(COUNTIF($A$2:A16,A16)=1,SUMIF(A:A,A16,Q:Q),"")</f>
        <v/>
      </c>
    </row>
    <row r="17" spans="1:20" ht="57.6">
      <c r="A17" s="33" t="s">
        <v>32</v>
      </c>
      <c r="B17" s="54" t="s">
        <v>216</v>
      </c>
      <c r="C17" s="36"/>
      <c r="D17" s="37" t="s">
        <v>209</v>
      </c>
      <c r="E17" s="37" t="s">
        <v>729</v>
      </c>
      <c r="F17" s="37" t="s">
        <v>1333</v>
      </c>
      <c r="G17" s="125" t="s">
        <v>712</v>
      </c>
      <c r="H17" s="37"/>
      <c r="I17" s="107" t="s">
        <v>210</v>
      </c>
      <c r="J17" s="88" t="s">
        <v>650</v>
      </c>
      <c r="K17" s="37">
        <v>1</v>
      </c>
      <c r="L17" s="37">
        <v>90</v>
      </c>
      <c r="M17" s="37">
        <v>95</v>
      </c>
      <c r="N17" s="37">
        <f t="shared" si="0"/>
        <v>380</v>
      </c>
      <c r="O17" s="31">
        <v>778.55</v>
      </c>
      <c r="P17" s="31">
        <f t="shared" si="1"/>
        <v>677</v>
      </c>
      <c r="Q17" s="31">
        <f t="shared" si="2"/>
        <v>257260</v>
      </c>
      <c r="R17" s="31">
        <v>0</v>
      </c>
      <c r="S17" s="31">
        <f>Tabella24[[#This Row],[Importo 48 mesi]]+Tabella24[[#This Row],[Importo stimato per ricambi]]</f>
        <v>257260</v>
      </c>
      <c r="T17" s="55" t="str">
        <f>IF(COUNTIF($A$2:A17,A17)=1,SUMIF(A:A,A17,Q:Q),"")</f>
        <v/>
      </c>
    </row>
    <row r="18" spans="1:20" ht="86.4">
      <c r="A18" s="33" t="s">
        <v>32</v>
      </c>
      <c r="B18" s="54" t="s">
        <v>219</v>
      </c>
      <c r="C18" s="36" t="s">
        <v>730</v>
      </c>
      <c r="D18" s="37" t="s">
        <v>731</v>
      </c>
      <c r="E18" s="37" t="s">
        <v>732</v>
      </c>
      <c r="F18" s="107" t="s">
        <v>733</v>
      </c>
      <c r="G18" s="125"/>
      <c r="H18" s="37"/>
      <c r="I18" s="107" t="s">
        <v>734</v>
      </c>
      <c r="J18" s="88" t="s">
        <v>650</v>
      </c>
      <c r="K18" s="37">
        <v>1</v>
      </c>
      <c r="L18" s="37">
        <v>770</v>
      </c>
      <c r="M18" s="37">
        <v>770</v>
      </c>
      <c r="N18" s="37">
        <f t="shared" si="0"/>
        <v>3080</v>
      </c>
      <c r="O18" s="31">
        <v>227.92999999999998</v>
      </c>
      <c r="P18" s="31">
        <f t="shared" si="1"/>
        <v>198.2</v>
      </c>
      <c r="Q18" s="31">
        <f t="shared" si="2"/>
        <v>610456</v>
      </c>
      <c r="R18" s="31">
        <v>0</v>
      </c>
      <c r="S18" s="31">
        <f>Tabella24[[#This Row],[Importo 48 mesi]]+Tabella24[[#This Row],[Importo stimato per ricambi]]</f>
        <v>610456</v>
      </c>
      <c r="T18" s="55" t="str">
        <f>IF(COUNTIF($A$2:A18,A18)=1,SUMIF(A:A,A18,Q:Q),"")</f>
        <v/>
      </c>
    </row>
    <row r="19" spans="1:20" ht="115.2">
      <c r="A19" s="33" t="s">
        <v>32</v>
      </c>
      <c r="B19" s="54" t="s">
        <v>222</v>
      </c>
      <c r="C19" s="36" t="s">
        <v>735</v>
      </c>
      <c r="D19" s="37" t="s">
        <v>229</v>
      </c>
      <c r="E19" s="37" t="s">
        <v>736</v>
      </c>
      <c r="F19" s="37"/>
      <c r="G19" s="125"/>
      <c r="H19" s="37"/>
      <c r="I19" s="107" t="s">
        <v>737</v>
      </c>
      <c r="J19" s="88" t="s">
        <v>650</v>
      </c>
      <c r="K19" s="37">
        <v>1</v>
      </c>
      <c r="L19" s="37">
        <v>0</v>
      </c>
      <c r="M19" s="37">
        <v>3</v>
      </c>
      <c r="N19" s="37">
        <f t="shared" si="0"/>
        <v>12</v>
      </c>
      <c r="O19" s="31">
        <v>2199.9499999999998</v>
      </c>
      <c r="P19" s="31">
        <f t="shared" si="1"/>
        <v>1913</v>
      </c>
      <c r="Q19" s="31">
        <f t="shared" si="2"/>
        <v>22956</v>
      </c>
      <c r="R19" s="31">
        <v>0</v>
      </c>
      <c r="S19" s="31">
        <f>Tabella24[[#This Row],[Importo 48 mesi]]+Tabella24[[#This Row],[Importo stimato per ricambi]]</f>
        <v>22956</v>
      </c>
      <c r="T19" s="55" t="str">
        <f>IF(COUNTIF($A$2:A19,A19)=1,SUMIF(A:A,A19,Q:Q),"")</f>
        <v/>
      </c>
    </row>
    <row r="20" spans="1:20" ht="72">
      <c r="A20" s="33" t="s">
        <v>32</v>
      </c>
      <c r="B20" s="54" t="s">
        <v>738</v>
      </c>
      <c r="C20" s="36"/>
      <c r="D20" s="37" t="s">
        <v>212</v>
      </c>
      <c r="E20" s="37" t="s">
        <v>739</v>
      </c>
      <c r="F20" s="37" t="s">
        <v>1333</v>
      </c>
      <c r="G20" s="125" t="s">
        <v>712</v>
      </c>
      <c r="H20" s="37"/>
      <c r="I20" s="107" t="s">
        <v>213</v>
      </c>
      <c r="J20" s="88" t="s">
        <v>650</v>
      </c>
      <c r="K20" s="37">
        <v>2</v>
      </c>
      <c r="L20" s="37">
        <v>6</v>
      </c>
      <c r="M20" s="37">
        <v>10</v>
      </c>
      <c r="N20" s="37">
        <f t="shared" si="0"/>
        <v>40</v>
      </c>
      <c r="O20" s="31">
        <v>722.19999999999993</v>
      </c>
      <c r="P20" s="31">
        <f t="shared" si="1"/>
        <v>628</v>
      </c>
      <c r="Q20" s="31">
        <f t="shared" si="2"/>
        <v>25120</v>
      </c>
      <c r="R20" s="31">
        <v>0</v>
      </c>
      <c r="S20" s="31">
        <f>Tabella24[[#This Row],[Importo 48 mesi]]+Tabella24[[#This Row],[Importo stimato per ricambi]]</f>
        <v>25120</v>
      </c>
      <c r="T20" s="55" t="str">
        <f>IF(COUNTIF($A$2:A20,A20)=1,SUMIF(A:A,A20,Q:Q),"")</f>
        <v/>
      </c>
    </row>
    <row r="21" spans="1:20" ht="43.2">
      <c r="A21" s="33" t="s">
        <v>32</v>
      </c>
      <c r="B21" s="54" t="s">
        <v>740</v>
      </c>
      <c r="C21" s="36"/>
      <c r="D21" s="37" t="s">
        <v>215</v>
      </c>
      <c r="E21" s="37" t="s">
        <v>741</v>
      </c>
      <c r="F21" s="37" t="s">
        <v>1333</v>
      </c>
      <c r="G21" s="125" t="s">
        <v>712</v>
      </c>
      <c r="H21" s="37"/>
      <c r="I21" s="107" t="s">
        <v>213</v>
      </c>
      <c r="J21" s="88" t="s">
        <v>650</v>
      </c>
      <c r="K21" s="37">
        <v>1</v>
      </c>
      <c r="L21" s="40">
        <v>0</v>
      </c>
      <c r="M21" s="40">
        <v>5</v>
      </c>
      <c r="N21" s="37">
        <f t="shared" si="0"/>
        <v>20</v>
      </c>
      <c r="O21" s="41">
        <v>1997.067</v>
      </c>
      <c r="P21" s="41">
        <f t="shared" si="1"/>
        <v>1736.5800000000002</v>
      </c>
      <c r="Q21" s="31">
        <f t="shared" si="2"/>
        <v>34731.600000000006</v>
      </c>
      <c r="R21" s="31">
        <v>0</v>
      </c>
      <c r="S21" s="31">
        <f>Tabella24[[#This Row],[Importo 48 mesi]]+Tabella24[[#This Row],[Importo stimato per ricambi]]</f>
        <v>34731.600000000006</v>
      </c>
      <c r="T21" s="55" t="str">
        <f>IF(COUNTIF($A$2:A21,A21)=1,SUMIF(A:A,A21,Q:Q),"")</f>
        <v/>
      </c>
    </row>
    <row r="22" spans="1:20" ht="28.8">
      <c r="A22" s="33" t="s">
        <v>32</v>
      </c>
      <c r="B22" s="54" t="s">
        <v>742</v>
      </c>
      <c r="C22" s="36"/>
      <c r="D22" s="37" t="s">
        <v>240</v>
      </c>
      <c r="E22" s="37" t="s">
        <v>743</v>
      </c>
      <c r="F22" s="37"/>
      <c r="G22" s="125"/>
      <c r="H22" s="37"/>
      <c r="I22" s="107"/>
      <c r="J22" s="88" t="s">
        <v>650</v>
      </c>
      <c r="K22" s="37">
        <v>1</v>
      </c>
      <c r="L22" s="40">
        <v>0</v>
      </c>
      <c r="M22" s="40">
        <v>5</v>
      </c>
      <c r="N22" s="37">
        <f t="shared" si="0"/>
        <v>20</v>
      </c>
      <c r="O22" s="41">
        <v>6500</v>
      </c>
      <c r="P22" s="41">
        <f t="shared" si="1"/>
        <v>5652.1739130434789</v>
      </c>
      <c r="Q22" s="31">
        <f t="shared" si="2"/>
        <v>113043.47826086958</v>
      </c>
      <c r="R22" s="31">
        <v>0</v>
      </c>
      <c r="S22" s="31">
        <f>Tabella24[[#This Row],[Importo 48 mesi]]+Tabella24[[#This Row],[Importo stimato per ricambi]]</f>
        <v>113043.47826086958</v>
      </c>
      <c r="T22" s="55" t="str">
        <f>IF(COUNTIF($A$2:A22,A22)=1,SUMIF(A:A,A22,Q:Q),"")</f>
        <v/>
      </c>
    </row>
    <row r="23" spans="1:20" ht="28.8">
      <c r="A23" s="33" t="s">
        <v>32</v>
      </c>
      <c r="B23" s="54" t="s">
        <v>744</v>
      </c>
      <c r="C23" s="36"/>
      <c r="D23" s="37" t="s">
        <v>745</v>
      </c>
      <c r="E23" s="37" t="s">
        <v>746</v>
      </c>
      <c r="F23" s="37"/>
      <c r="G23" s="125"/>
      <c r="H23" s="37"/>
      <c r="I23" s="107"/>
      <c r="J23" s="88" t="s">
        <v>650</v>
      </c>
      <c r="K23" s="37">
        <v>1</v>
      </c>
      <c r="L23" s="40">
        <v>0</v>
      </c>
      <c r="M23" s="40">
        <v>5</v>
      </c>
      <c r="N23" s="37">
        <f t="shared" si="0"/>
        <v>20</v>
      </c>
      <c r="O23" s="41">
        <v>4024.9999999999995</v>
      </c>
      <c r="P23" s="41">
        <f t="shared" si="1"/>
        <v>3500</v>
      </c>
      <c r="Q23" s="31">
        <f t="shared" si="2"/>
        <v>70000</v>
      </c>
      <c r="R23" s="31">
        <v>0</v>
      </c>
      <c r="S23" s="31">
        <f>Tabella24[[#This Row],[Importo 48 mesi]]+Tabella24[[#This Row],[Importo stimato per ricambi]]</f>
        <v>70000</v>
      </c>
      <c r="T23" s="55" t="str">
        <f>IF(COUNTIF($A$2:A23,A23)=1,SUMIF(A:A,A23,Q:Q),"")</f>
        <v/>
      </c>
    </row>
    <row r="24" spans="1:20" ht="28.8">
      <c r="A24" s="33" t="s">
        <v>32</v>
      </c>
      <c r="B24" s="54" t="s">
        <v>747</v>
      </c>
      <c r="C24" s="36"/>
      <c r="D24" s="37" t="s">
        <v>248</v>
      </c>
      <c r="E24" s="37" t="s">
        <v>748</v>
      </c>
      <c r="F24" s="37"/>
      <c r="G24" s="125"/>
      <c r="H24" s="37"/>
      <c r="I24" s="107"/>
      <c r="J24" s="88" t="s">
        <v>650</v>
      </c>
      <c r="K24" s="37">
        <v>1</v>
      </c>
      <c r="L24" s="40">
        <v>0</v>
      </c>
      <c r="M24" s="40">
        <v>10</v>
      </c>
      <c r="N24" s="37">
        <f t="shared" si="0"/>
        <v>40</v>
      </c>
      <c r="O24" s="41">
        <v>9200</v>
      </c>
      <c r="P24" s="41">
        <f t="shared" si="1"/>
        <v>8000.0000000000009</v>
      </c>
      <c r="Q24" s="31">
        <f t="shared" si="2"/>
        <v>320000.00000000006</v>
      </c>
      <c r="R24" s="31">
        <v>0</v>
      </c>
      <c r="S24" s="31">
        <f>Tabella24[[#This Row],[Importo 48 mesi]]+Tabella24[[#This Row],[Importo stimato per ricambi]]</f>
        <v>320000.00000000006</v>
      </c>
      <c r="T24" s="55" t="str">
        <f>IF(COUNTIF($A$2:A24,A24)=1,SUMIF(A:A,A24,Q:Q),"")</f>
        <v/>
      </c>
    </row>
    <row r="25" spans="1:20" ht="57.6">
      <c r="A25" s="33" t="s">
        <v>32</v>
      </c>
      <c r="B25" s="54" t="s">
        <v>749</v>
      </c>
      <c r="C25" s="36"/>
      <c r="D25" s="37" t="s">
        <v>252</v>
      </c>
      <c r="E25" s="37" t="s">
        <v>750</v>
      </c>
      <c r="F25" s="37" t="s">
        <v>751</v>
      </c>
      <c r="G25" s="125"/>
      <c r="H25" s="37"/>
      <c r="I25" s="107" t="s">
        <v>253</v>
      </c>
      <c r="J25" s="88" t="s">
        <v>650</v>
      </c>
      <c r="K25" s="37">
        <v>2</v>
      </c>
      <c r="L25" s="40">
        <v>5</v>
      </c>
      <c r="M25" s="40">
        <v>20</v>
      </c>
      <c r="N25" s="37">
        <f t="shared" si="0"/>
        <v>80</v>
      </c>
      <c r="O25" s="41">
        <v>473.79999999999995</v>
      </c>
      <c r="P25" s="41">
        <f t="shared" si="1"/>
        <v>412</v>
      </c>
      <c r="Q25" s="31">
        <f t="shared" si="2"/>
        <v>32960</v>
      </c>
      <c r="R25" s="31">
        <v>0</v>
      </c>
      <c r="S25" s="31">
        <f>Tabella24[[#This Row],[Importo 48 mesi]]+Tabella24[[#This Row],[Importo stimato per ricambi]]</f>
        <v>32960</v>
      </c>
      <c r="T25" s="55" t="str">
        <f>IF(COUNTIF($A$2:A25,A25)=1,SUMIF(A:A,A25,Q:Q),"")</f>
        <v/>
      </c>
    </row>
    <row r="26" spans="1:20" ht="43.2">
      <c r="A26" s="33" t="s">
        <v>32</v>
      </c>
      <c r="B26" s="54" t="s">
        <v>752</v>
      </c>
      <c r="C26" s="36"/>
      <c r="D26" s="37" t="s">
        <v>255</v>
      </c>
      <c r="E26" s="37" t="s">
        <v>753</v>
      </c>
      <c r="F26" s="37"/>
      <c r="G26" s="125"/>
      <c r="H26" s="37"/>
      <c r="I26" s="107" t="s">
        <v>754</v>
      </c>
      <c r="J26" s="88" t="s">
        <v>650</v>
      </c>
      <c r="K26" s="37"/>
      <c r="L26" s="40">
        <v>0</v>
      </c>
      <c r="M26" s="40">
        <v>30</v>
      </c>
      <c r="N26" s="37">
        <f t="shared" si="0"/>
        <v>120</v>
      </c>
      <c r="O26" s="41">
        <v>670.44999999999993</v>
      </c>
      <c r="P26" s="41">
        <f t="shared" si="1"/>
        <v>583</v>
      </c>
      <c r="Q26" s="31">
        <f t="shared" si="2"/>
        <v>69960</v>
      </c>
      <c r="R26" s="31">
        <v>0</v>
      </c>
      <c r="S26" s="31">
        <f>Tabella24[[#This Row],[Importo 48 mesi]]+Tabella24[[#This Row],[Importo stimato per ricambi]]</f>
        <v>69960</v>
      </c>
      <c r="T26" s="55" t="str">
        <f>IF(COUNTIF($A$2:A26,A26)=1,SUMIF(A:A,A26,Q:Q),"")</f>
        <v/>
      </c>
    </row>
    <row r="27" spans="1:20" ht="72">
      <c r="A27" s="33" t="s">
        <v>32</v>
      </c>
      <c r="B27" s="54" t="s">
        <v>755</v>
      </c>
      <c r="C27" s="36"/>
      <c r="D27" s="37" t="s">
        <v>259</v>
      </c>
      <c r="E27" s="37" t="s">
        <v>756</v>
      </c>
      <c r="F27" s="37"/>
      <c r="G27" s="125"/>
      <c r="H27" s="37"/>
      <c r="I27" s="107" t="s">
        <v>754</v>
      </c>
      <c r="J27" s="88" t="s">
        <v>650</v>
      </c>
      <c r="K27" s="37"/>
      <c r="L27" s="40">
        <v>0</v>
      </c>
      <c r="M27" s="40">
        <v>40</v>
      </c>
      <c r="N27" s="37">
        <f t="shared" si="0"/>
        <v>160</v>
      </c>
      <c r="O27" s="41">
        <v>1118.9499999999998</v>
      </c>
      <c r="P27" s="41">
        <f t="shared" si="1"/>
        <v>972.99999999999989</v>
      </c>
      <c r="Q27" s="31">
        <f t="shared" si="2"/>
        <v>155679.99999999997</v>
      </c>
      <c r="R27" s="31">
        <v>0</v>
      </c>
      <c r="S27" s="31">
        <f>Tabella24[[#This Row],[Importo 48 mesi]]+Tabella24[[#This Row],[Importo stimato per ricambi]]</f>
        <v>155679.99999999997</v>
      </c>
      <c r="T27" s="55" t="str">
        <f>IF(COUNTIF($A$2:A27,A27)=1,SUMIF(A:A,A27,Q:Q),"")</f>
        <v/>
      </c>
    </row>
    <row r="28" spans="1:20" ht="86.4">
      <c r="A28" s="33" t="s">
        <v>32</v>
      </c>
      <c r="B28" s="54" t="s">
        <v>757</v>
      </c>
      <c r="C28" s="36"/>
      <c r="D28" s="37" t="s">
        <v>262</v>
      </c>
      <c r="E28" s="37" t="s">
        <v>758</v>
      </c>
      <c r="F28" s="37"/>
      <c r="G28" s="125"/>
      <c r="H28" s="37"/>
      <c r="I28" s="107" t="s">
        <v>754</v>
      </c>
      <c r="J28" s="88" t="s">
        <v>650</v>
      </c>
      <c r="K28" s="37"/>
      <c r="L28" s="40" t="s">
        <v>759</v>
      </c>
      <c r="M28" s="40">
        <v>10</v>
      </c>
      <c r="N28" s="37">
        <f t="shared" si="0"/>
        <v>40</v>
      </c>
      <c r="O28" s="41">
        <v>1274.1999999999998</v>
      </c>
      <c r="P28" s="41">
        <f t="shared" si="1"/>
        <v>1108</v>
      </c>
      <c r="Q28" s="31">
        <f t="shared" si="2"/>
        <v>44320</v>
      </c>
      <c r="R28" s="31">
        <v>0</v>
      </c>
      <c r="S28" s="31">
        <f>Tabella24[[#This Row],[Importo 48 mesi]]+Tabella24[[#This Row],[Importo stimato per ricambi]]</f>
        <v>44320</v>
      </c>
      <c r="T28" s="55" t="str">
        <f>IF(COUNTIF($A$2:A28,A28)=1,SUMIF(A:A,A28,Q:Q),"")</f>
        <v/>
      </c>
    </row>
    <row r="29" spans="1:20" ht="72">
      <c r="A29" s="33" t="s">
        <v>32</v>
      </c>
      <c r="B29" s="54" t="s">
        <v>760</v>
      </c>
      <c r="C29" s="36"/>
      <c r="D29" s="37" t="s">
        <v>265</v>
      </c>
      <c r="E29" s="37" t="s">
        <v>761</v>
      </c>
      <c r="F29" s="37"/>
      <c r="G29" s="125"/>
      <c r="H29" s="37"/>
      <c r="I29" s="107" t="s">
        <v>754</v>
      </c>
      <c r="J29" s="88" t="s">
        <v>650</v>
      </c>
      <c r="K29" s="37"/>
      <c r="L29" s="40" t="s">
        <v>759</v>
      </c>
      <c r="M29" s="40">
        <v>30</v>
      </c>
      <c r="N29" s="37">
        <f t="shared" si="0"/>
        <v>120</v>
      </c>
      <c r="O29" s="41">
        <v>1728.4499999999998</v>
      </c>
      <c r="P29" s="41">
        <f t="shared" si="1"/>
        <v>1503</v>
      </c>
      <c r="Q29" s="31">
        <f t="shared" si="2"/>
        <v>180360</v>
      </c>
      <c r="R29" s="31">
        <v>0</v>
      </c>
      <c r="S29" s="31">
        <f>Tabella24[[#This Row],[Importo 48 mesi]]+Tabella24[[#This Row],[Importo stimato per ricambi]]</f>
        <v>180360</v>
      </c>
      <c r="T29" s="55" t="str">
        <f>IF(COUNTIF($A$2:A29,A29)=1,SUMIF(A:A,A29,Q:Q),"")</f>
        <v/>
      </c>
    </row>
    <row r="30" spans="1:20" ht="72">
      <c r="A30" s="33" t="s">
        <v>32</v>
      </c>
      <c r="B30" s="54" t="s">
        <v>762</v>
      </c>
      <c r="C30" s="36" t="s">
        <v>763</v>
      </c>
      <c r="D30" s="37" t="s">
        <v>217</v>
      </c>
      <c r="E30" s="37" t="s">
        <v>764</v>
      </c>
      <c r="F30" s="37" t="s">
        <v>1334</v>
      </c>
      <c r="G30" s="125" t="s">
        <v>765</v>
      </c>
      <c r="H30" s="37"/>
      <c r="I30" s="107" t="s">
        <v>198</v>
      </c>
      <c r="J30" s="88" t="s">
        <v>650</v>
      </c>
      <c r="K30" s="37">
        <v>1</v>
      </c>
      <c r="L30" s="40" t="s">
        <v>759</v>
      </c>
      <c r="M30" s="40">
        <v>20</v>
      </c>
      <c r="N30" s="37">
        <f t="shared" si="0"/>
        <v>80</v>
      </c>
      <c r="O30" s="41">
        <v>207.28749999999999</v>
      </c>
      <c r="P30" s="41">
        <f t="shared" si="1"/>
        <v>180.25</v>
      </c>
      <c r="Q30" s="31">
        <f t="shared" si="2"/>
        <v>14420</v>
      </c>
      <c r="R30" s="31">
        <v>0</v>
      </c>
      <c r="S30" s="31">
        <f>Tabella24[[#This Row],[Importo 48 mesi]]+Tabella24[[#This Row],[Importo stimato per ricambi]]</f>
        <v>14420</v>
      </c>
      <c r="T30" s="55" t="str">
        <f>IF(COUNTIF($A$2:A30,A30)=1,SUMIF(A:A,A30,Q:Q),"")</f>
        <v/>
      </c>
    </row>
    <row r="31" spans="1:20" ht="86.4">
      <c r="A31" s="33" t="s">
        <v>32</v>
      </c>
      <c r="B31" s="54" t="s">
        <v>766</v>
      </c>
      <c r="C31" s="36" t="s">
        <v>763</v>
      </c>
      <c r="D31" s="37" t="s">
        <v>220</v>
      </c>
      <c r="E31" s="37" t="s">
        <v>767</v>
      </c>
      <c r="F31" s="37" t="s">
        <v>1334</v>
      </c>
      <c r="G31" s="125" t="s">
        <v>765</v>
      </c>
      <c r="H31" s="37" t="s">
        <v>768</v>
      </c>
      <c r="I31" s="107" t="s">
        <v>221</v>
      </c>
      <c r="J31" s="88" t="s">
        <v>650</v>
      </c>
      <c r="K31" s="37">
        <v>1</v>
      </c>
      <c r="L31" s="40" t="s">
        <v>759</v>
      </c>
      <c r="M31" s="40">
        <v>40</v>
      </c>
      <c r="N31" s="37">
        <f t="shared" si="0"/>
        <v>160</v>
      </c>
      <c r="O31" s="41">
        <v>92.98899999999999</v>
      </c>
      <c r="P31" s="41">
        <f t="shared" si="1"/>
        <v>80.86</v>
      </c>
      <c r="Q31" s="31">
        <f t="shared" si="2"/>
        <v>12937.6</v>
      </c>
      <c r="R31" s="31">
        <v>0</v>
      </c>
      <c r="S31" s="31">
        <f>Tabella24[[#This Row],[Importo 48 mesi]]+Tabella24[[#This Row],[Importo stimato per ricambi]]</f>
        <v>12937.6</v>
      </c>
      <c r="T31" s="55" t="str">
        <f>IF(COUNTIF($A$2:A31,A31)=1,SUMIF(A:A,A31,Q:Q),"")</f>
        <v/>
      </c>
    </row>
    <row r="32" spans="1:20" ht="115.2">
      <c r="A32" s="33" t="s">
        <v>32</v>
      </c>
      <c r="B32" s="54" t="s">
        <v>769</v>
      </c>
      <c r="C32" s="36" t="s">
        <v>770</v>
      </c>
      <c r="D32" s="37" t="s">
        <v>223</v>
      </c>
      <c r="E32" s="37" t="s">
        <v>771</v>
      </c>
      <c r="F32" s="37" t="s">
        <v>1333</v>
      </c>
      <c r="G32" s="125" t="s">
        <v>712</v>
      </c>
      <c r="H32" s="37"/>
      <c r="I32" s="107"/>
      <c r="J32" s="88" t="s">
        <v>650</v>
      </c>
      <c r="K32" s="37">
        <v>1</v>
      </c>
      <c r="L32" s="40" t="s">
        <v>759</v>
      </c>
      <c r="M32" s="40">
        <v>120</v>
      </c>
      <c r="N32" s="37">
        <f t="shared" si="0"/>
        <v>480</v>
      </c>
      <c r="O32" s="41">
        <v>207.28749999999999</v>
      </c>
      <c r="P32" s="41">
        <f t="shared" si="1"/>
        <v>180.25</v>
      </c>
      <c r="Q32" s="31">
        <f t="shared" si="2"/>
        <v>86520</v>
      </c>
      <c r="R32" s="31">
        <v>0</v>
      </c>
      <c r="S32" s="31">
        <f>Tabella24[[#This Row],[Importo 48 mesi]]+Tabella24[[#This Row],[Importo stimato per ricambi]]</f>
        <v>86520</v>
      </c>
      <c r="T32" s="55" t="str">
        <f>IF(COUNTIF($A$2:A32,A32)=1,SUMIF(A:A,A32,Q:Q),"")</f>
        <v/>
      </c>
    </row>
    <row r="33" spans="1:20" ht="100.8">
      <c r="A33" s="33" t="s">
        <v>32</v>
      </c>
      <c r="B33" s="54" t="s">
        <v>772</v>
      </c>
      <c r="C33" s="36"/>
      <c r="D33" s="37" t="s">
        <v>232</v>
      </c>
      <c r="E33" s="37" t="s">
        <v>773</v>
      </c>
      <c r="F33" s="37"/>
      <c r="G33" s="125"/>
      <c r="H33" s="37"/>
      <c r="I33" s="107"/>
      <c r="J33" s="88" t="s">
        <v>650</v>
      </c>
      <c r="K33" s="37">
        <v>1</v>
      </c>
      <c r="L33" s="40"/>
      <c r="M33" s="40">
        <v>10</v>
      </c>
      <c r="N33" s="37">
        <v>40</v>
      </c>
      <c r="O33" s="41">
        <v>4000</v>
      </c>
      <c r="P33" s="41">
        <f t="shared" si="1"/>
        <v>3478.2608695652175</v>
      </c>
      <c r="Q33" s="31">
        <f t="shared" si="2"/>
        <v>139130.4347826087</v>
      </c>
      <c r="R33" s="31">
        <f>Tabella24[[#This Row],[Importo 48 mesi]]*0.01</f>
        <v>1391.304347826087</v>
      </c>
      <c r="S33" s="31">
        <f>Tabella24[[#This Row],[Importo 48 mesi]]+Tabella24[[#This Row],[Importo stimato per ricambi]]</f>
        <v>140521.73913043478</v>
      </c>
      <c r="T33" s="55" t="str">
        <f>IF(COUNTIF($A$2:A33,A33)=1,SUMIF(A:A,A33,Q:Q),"")</f>
        <v/>
      </c>
    </row>
    <row r="34" spans="1:20" ht="101.4" thickBot="1">
      <c r="A34" s="46" t="s">
        <v>32</v>
      </c>
      <c r="B34" s="58" t="s">
        <v>774</v>
      </c>
      <c r="C34" s="39"/>
      <c r="D34" s="38" t="s">
        <v>236</v>
      </c>
      <c r="E34" s="38" t="s">
        <v>775</v>
      </c>
      <c r="F34" s="38"/>
      <c r="G34" s="126"/>
      <c r="H34" s="38"/>
      <c r="I34" s="108"/>
      <c r="J34" s="101" t="s">
        <v>650</v>
      </c>
      <c r="K34" s="38">
        <v>1</v>
      </c>
      <c r="L34" s="42"/>
      <c r="M34" s="42">
        <v>10</v>
      </c>
      <c r="N34" s="38">
        <v>40</v>
      </c>
      <c r="O34" s="43">
        <v>2000</v>
      </c>
      <c r="P34" s="43">
        <f t="shared" si="1"/>
        <v>1739.1304347826087</v>
      </c>
      <c r="Q34" s="32">
        <f t="shared" si="2"/>
        <v>69565.217391304352</v>
      </c>
      <c r="R34" s="32">
        <f>Tabella24[[#This Row],[Importo 48 mesi]]*0.01</f>
        <v>695.6521739130435</v>
      </c>
      <c r="S34" s="32">
        <f>Tabella24[[#This Row],[Importo 48 mesi]]+Tabella24[[#This Row],[Importo stimato per ricambi]]</f>
        <v>70260.869565217392</v>
      </c>
      <c r="T34" s="59" t="str">
        <f>IF(COUNTIF($A$2:A34,A34)=1,SUMIF(A:A,A34,Q:Q),"")</f>
        <v/>
      </c>
    </row>
    <row r="35" spans="1:20" ht="15" thickBot="1">
      <c r="A35" s="71"/>
      <c r="B35" s="83"/>
      <c r="C35" s="83"/>
      <c r="D35" s="84"/>
      <c r="E35" s="84"/>
      <c r="F35" s="84"/>
      <c r="G35" s="103"/>
      <c r="H35" s="103"/>
      <c r="I35" s="103"/>
      <c r="J35" s="84"/>
      <c r="K35" s="102"/>
      <c r="L35" s="84"/>
      <c r="M35" s="84"/>
      <c r="N35" s="84"/>
      <c r="O35" s="85"/>
      <c r="P35" s="85"/>
      <c r="Q35" s="85"/>
      <c r="R35" s="85"/>
      <c r="S35" s="85"/>
      <c r="T35" s="98">
        <f>SUM(Tabella24[Importo stimato per lotto])</f>
        <v>3708702.7982608699</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DF4B-0D06-4BC5-AB7C-3F414637EA56}">
  <dimension ref="A1:T5"/>
  <sheetViews>
    <sheetView zoomScale="80" zoomScaleNormal="80" workbookViewId="0">
      <pane xSplit="1" topLeftCell="M1" activePane="topRight" state="frozen"/>
      <selection activeCell="C1" sqref="C1"/>
      <selection pane="topRight" activeCell="C1" sqref="C1"/>
    </sheetView>
  </sheetViews>
  <sheetFormatPr defaultColWidth="9.21875" defaultRowHeight="14.4"/>
  <cols>
    <col min="1" max="1" width="10.44140625" style="50" bestFit="1" customWidth="1"/>
    <col min="2" max="2" width="6.88671875" style="50" bestFit="1" customWidth="1"/>
    <col min="3" max="3" width="17.109375" style="50" bestFit="1" customWidth="1"/>
    <col min="4" max="4" width="23.21875" style="50" customWidth="1"/>
    <col min="5" max="5" width="66.77734375" style="50" bestFit="1" customWidth="1"/>
    <col min="6" max="6" width="50.5546875" style="50" bestFit="1" customWidth="1"/>
    <col min="7" max="7" width="23.33203125" style="50" bestFit="1" customWidth="1"/>
    <col min="8" max="8" width="25.6640625" style="50" bestFit="1" customWidth="1"/>
    <col min="9" max="9" width="30.44140625" style="50" bestFit="1" customWidth="1"/>
    <col min="10" max="10" width="27.6640625" style="50" bestFit="1" customWidth="1"/>
    <col min="11" max="11" width="28.21875" style="50" bestFit="1" customWidth="1"/>
    <col min="12" max="12" width="28.21875" bestFit="1" customWidth="1"/>
    <col min="13" max="13" width="21.88671875" bestFit="1" customWidth="1"/>
    <col min="14" max="14" width="31.21875" bestFit="1" customWidth="1"/>
    <col min="15" max="15" width="23.77734375" bestFit="1" customWidth="1"/>
    <col min="16" max="16" width="28" style="44" bestFit="1" customWidth="1"/>
    <col min="17" max="17" width="27.21875" style="44" bestFit="1" customWidth="1"/>
    <col min="18" max="18" width="26.88671875" bestFit="1" customWidth="1"/>
    <col min="19" max="19" width="23.44140625" style="51" bestFit="1" customWidth="1"/>
    <col min="20" max="20" width="20.77734375" bestFit="1" customWidth="1"/>
    <col min="21" max="21" width="14.21875" bestFit="1" customWidth="1"/>
  </cols>
  <sheetData>
    <row r="1" spans="1:20" ht="65.400000000000006" thickBot="1">
      <c r="A1" s="131" t="s">
        <v>626</v>
      </c>
      <c r="B1" s="131" t="s">
        <v>776</v>
      </c>
      <c r="C1" s="131" t="s">
        <v>628</v>
      </c>
      <c r="D1" s="132" t="s">
        <v>777</v>
      </c>
      <c r="E1" s="132" t="s">
        <v>630</v>
      </c>
      <c r="F1" s="133" t="s">
        <v>778</v>
      </c>
      <c r="G1" s="133" t="s">
        <v>632</v>
      </c>
      <c r="H1" s="133" t="s">
        <v>633</v>
      </c>
      <c r="I1" s="133" t="s">
        <v>634</v>
      </c>
      <c r="J1" s="132" t="s">
        <v>635</v>
      </c>
      <c r="K1" s="134" t="s">
        <v>636</v>
      </c>
      <c r="L1" s="135" t="s">
        <v>637</v>
      </c>
      <c r="M1" s="132" t="s">
        <v>638</v>
      </c>
      <c r="N1" s="135" t="s">
        <v>639</v>
      </c>
      <c r="O1" s="136" t="s">
        <v>640</v>
      </c>
      <c r="P1" s="137" t="s">
        <v>641</v>
      </c>
      <c r="Q1" s="137" t="s">
        <v>642</v>
      </c>
      <c r="R1" s="138" t="s">
        <v>643</v>
      </c>
      <c r="S1" s="138" t="s">
        <v>644</v>
      </c>
      <c r="T1" s="138" t="s">
        <v>645</v>
      </c>
    </row>
    <row r="2" spans="1:20" ht="130.19999999999999" thickBot="1">
      <c r="A2" s="34" t="s">
        <v>10</v>
      </c>
      <c r="B2" s="52" t="s">
        <v>78</v>
      </c>
      <c r="C2" s="34"/>
      <c r="D2" s="155" t="s">
        <v>1335</v>
      </c>
      <c r="E2" s="155" t="s">
        <v>779</v>
      </c>
      <c r="F2" s="106" t="s">
        <v>1336</v>
      </c>
      <c r="G2" s="106"/>
      <c r="H2" s="106"/>
      <c r="I2" s="106" t="s">
        <v>780</v>
      </c>
      <c r="J2" s="30"/>
      <c r="K2" s="86" t="s">
        <v>781</v>
      </c>
      <c r="L2" s="30">
        <v>40</v>
      </c>
      <c r="M2" s="30">
        <v>40</v>
      </c>
      <c r="N2" s="30">
        <f>M2*4</f>
        <v>160</v>
      </c>
      <c r="O2" s="35">
        <v>1293.4739999999999</v>
      </c>
      <c r="P2" s="139">
        <f>O2/1.15</f>
        <v>1124.76</v>
      </c>
      <c r="Q2" s="139">
        <f>N2*P2</f>
        <v>179961.60000000001</v>
      </c>
      <c r="R2" s="35">
        <f>Tabella289[[#This Row],[Importo 48 mesi]]*0.01</f>
        <v>1799.616</v>
      </c>
      <c r="S2" s="140">
        <f>SUM(Tabella289[[#This Row],[Importo 48 mesi]:[Importo stimato per ricambi]])</f>
        <v>181761.21600000001</v>
      </c>
      <c r="T2" s="53">
        <f>SUM(S2:S4)</f>
        <v>253446.20840000003</v>
      </c>
    </row>
    <row r="3" spans="1:20" ht="115.8" thickBot="1">
      <c r="A3" s="36" t="s">
        <v>10</v>
      </c>
      <c r="B3" s="54" t="s">
        <v>81</v>
      </c>
      <c r="C3" s="36"/>
      <c r="D3" s="45" t="s">
        <v>82</v>
      </c>
      <c r="E3" s="45" t="s">
        <v>1337</v>
      </c>
      <c r="F3" s="106" t="s">
        <v>1338</v>
      </c>
      <c r="G3" s="107"/>
      <c r="H3" s="156"/>
      <c r="I3" s="106" t="s">
        <v>782</v>
      </c>
      <c r="J3" s="30"/>
      <c r="K3" s="86" t="s">
        <v>781</v>
      </c>
      <c r="L3" s="37">
        <v>3</v>
      </c>
      <c r="M3" s="37">
        <v>3</v>
      </c>
      <c r="N3" s="38">
        <f>M3*4</f>
        <v>12</v>
      </c>
      <c r="O3" s="37">
        <v>4489.2550000000001</v>
      </c>
      <c r="P3" s="141">
        <f>O3/1.15</f>
        <v>3903.7000000000003</v>
      </c>
      <c r="Q3" s="141">
        <f>N3*P3</f>
        <v>46844.4</v>
      </c>
      <c r="R3" s="142">
        <f>Tabella289[[#This Row],[Importo 48 mesi]]*0.01</f>
        <v>468.44400000000002</v>
      </c>
      <c r="S3" s="31">
        <f>SUM(Tabella289[[#This Row],[Importo 48 mesi]:[Importo stimato per ricambi]])</f>
        <v>47312.844000000005</v>
      </c>
      <c r="T3" s="55" t="str">
        <f>IF(COUNTIF($A$2:A3,A3)=1,SUMIF(A:A,A3,Q:Q),"")</f>
        <v/>
      </c>
    </row>
    <row r="4" spans="1:20" ht="101.4" thickBot="1">
      <c r="A4" s="39" t="s">
        <v>10</v>
      </c>
      <c r="B4" s="58" t="s">
        <v>84</v>
      </c>
      <c r="C4" s="39"/>
      <c r="D4" s="157" t="s">
        <v>1339</v>
      </c>
      <c r="E4" s="157" t="s">
        <v>783</v>
      </c>
      <c r="F4" s="106" t="s">
        <v>1340</v>
      </c>
      <c r="G4" s="108"/>
      <c r="H4" s="158"/>
      <c r="I4" s="106" t="s">
        <v>782</v>
      </c>
      <c r="J4" s="30"/>
      <c r="K4" s="86" t="s">
        <v>781</v>
      </c>
      <c r="L4" s="38">
        <v>1</v>
      </c>
      <c r="M4" s="38">
        <v>1</v>
      </c>
      <c r="N4" s="38">
        <f>M4*4</f>
        <v>4</v>
      </c>
      <c r="O4" s="32">
        <v>6937.6164999999992</v>
      </c>
      <c r="P4" s="143">
        <f>O4/1.15</f>
        <v>6032.71</v>
      </c>
      <c r="Q4" s="143">
        <f>N4*P4</f>
        <v>24130.84</v>
      </c>
      <c r="R4" s="144">
        <f>Tabella289[[#This Row],[Importo 48 mesi]]*0.01</f>
        <v>241.30840000000001</v>
      </c>
      <c r="S4" s="145">
        <f>SUM(Tabella289[[#This Row],[Importo 48 mesi]:[Importo stimato per ricambi]])</f>
        <v>24372.148400000002</v>
      </c>
      <c r="T4" s="59" t="str">
        <f>IF(COUNTIF($A$2:A4,A4)=1,SUMIF(A:A,A4,Q:Q),"")</f>
        <v/>
      </c>
    </row>
    <row r="5" spans="1:20" ht="15" thickBot="1">
      <c r="A5" s="71"/>
      <c r="B5" s="83"/>
      <c r="C5" s="83"/>
      <c r="D5" s="83"/>
      <c r="E5" s="83"/>
      <c r="F5" s="83"/>
      <c r="G5" s="83"/>
      <c r="H5" s="83"/>
      <c r="I5" s="83"/>
      <c r="J5" s="83"/>
      <c r="K5" s="83"/>
      <c r="L5" s="84"/>
      <c r="M5" s="84"/>
      <c r="N5" s="84"/>
      <c r="O5" s="85"/>
      <c r="P5" s="85"/>
      <c r="Q5" s="85"/>
      <c r="R5" s="85"/>
      <c r="S5" s="85"/>
      <c r="T5" s="166">
        <f>SUM(Tabella289[Importo stimato per lotto])</f>
        <v>253446.20840000003</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994A4A9D44D494DBB715B2649148407" ma:contentTypeVersion="7" ma:contentTypeDescription="Creare un nuovo documento." ma:contentTypeScope="" ma:versionID="79a1cf51aff9fc4710bc00d382644907">
  <xsd:schema xmlns:xsd="http://www.w3.org/2001/XMLSchema" xmlns:xs="http://www.w3.org/2001/XMLSchema" xmlns:p="http://schemas.microsoft.com/office/2006/metadata/properties" xmlns:ns2="ed381d1f-3a62-4840-b357-b59c835d711f" targetNamespace="http://schemas.microsoft.com/office/2006/metadata/properties" ma:root="true" ma:fieldsID="cfed73f3e5a22f74329c5104618ddd8a" ns2:_="">
    <xsd:import namespace="ed381d1f-3a62-4840-b357-b59c835d71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81d1f-3a62-4840-b357-b59c835d7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D73B01-81A5-4F2C-B89E-CB965A4A4873}"/>
</file>

<file path=customXml/itemProps2.xml><?xml version="1.0" encoding="utf-8"?>
<ds:datastoreItem xmlns:ds="http://schemas.openxmlformats.org/officeDocument/2006/customXml" ds:itemID="{B11DA2B3-E84D-41A2-A171-AE58AB381092}"/>
</file>

<file path=customXml/itemProps3.xml><?xml version="1.0" encoding="utf-8"?>
<ds:datastoreItem xmlns:ds="http://schemas.openxmlformats.org/officeDocument/2006/customXml" ds:itemID="{2FDCA874-8DC6-4B78-985F-1FDCE53645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15</vt:i4>
      </vt:variant>
    </vt:vector>
  </HeadingPairs>
  <TitlesOfParts>
    <vt:vector size="15" baseType="lpstr">
      <vt:lpstr>Wiki</vt:lpstr>
      <vt:lpstr>Tipologie e Macrocategorie</vt:lpstr>
      <vt:lpstr>Categorie</vt:lpstr>
      <vt:lpstr>C1_Convalida dati</vt:lpstr>
      <vt:lpstr>Ortesi</vt:lpstr>
      <vt:lpstr>Ginocchiere</vt:lpstr>
      <vt:lpstr>Cuffie</vt:lpstr>
      <vt:lpstr>Moduli</vt:lpstr>
      <vt:lpstr>Anche</vt:lpstr>
      <vt:lpstr>Arto superiore</vt:lpstr>
      <vt:lpstr>Ginocchi</vt:lpstr>
      <vt:lpstr>Mani poliarticolate</vt:lpstr>
      <vt:lpstr>Piedi</vt:lpstr>
      <vt:lpstr>Foglio1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2026-07-13T14:52:31Z</dcterms:created>
  <dcterms:modified xsi:type="dcterms:W3CDTF">2026-07-13T14:52:55Z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0x0101008994A4A9D44D494DBB715B2649148407</vt:lpwstr>
  </property>
</Properties>
</file>