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to.savanella\Desktop\Consip\Iniziative\ID 2695 ServiceNow per Sogei\4. Pubblicazione\word\"/>
    </mc:Choice>
  </mc:AlternateContent>
  <bookViews>
    <workbookView xWindow="0" yWindow="0" windowWidth="19200" windowHeight="6470"/>
  </bookViews>
  <sheets>
    <sheet name="TOTALE OFFERTA" sheetId="2" r:id="rId1"/>
    <sheet name="DETTAGLIO QUOTAZIONI" sheetId="1" r:id="rId2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X39" i="1"/>
  <c r="X36" i="1"/>
  <c r="X35" i="1"/>
  <c r="X34" i="1"/>
  <c r="X30" i="1"/>
  <c r="X38" i="1"/>
  <c r="X37" i="1"/>
  <c r="X32" i="1"/>
  <c r="X31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3" i="1" l="1"/>
  <c r="W38" i="1" l="1"/>
  <c r="J38" i="1"/>
  <c r="M38" i="1" s="1"/>
  <c r="F38" i="1"/>
  <c r="J37" i="1"/>
  <c r="F37" i="1"/>
  <c r="B5" i="2" l="1"/>
  <c r="W37" i="1" l="1"/>
  <c r="M37" i="1"/>
  <c r="F32" i="1" l="1"/>
  <c r="F31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4" i="1"/>
  <c r="C6" i="2"/>
  <c r="F5" i="2" l="1"/>
  <c r="V32" i="1"/>
  <c r="U32" i="1"/>
  <c r="T32" i="1"/>
  <c r="S32" i="1"/>
  <c r="V31" i="1"/>
  <c r="U31" i="1"/>
  <c r="T31" i="1"/>
  <c r="S31" i="1"/>
  <c r="S5" i="1"/>
  <c r="U5" i="1"/>
  <c r="V5" i="1"/>
  <c r="S6" i="1"/>
  <c r="U6" i="1"/>
  <c r="V6" i="1"/>
  <c r="S7" i="1"/>
  <c r="U7" i="1"/>
  <c r="V7" i="1"/>
  <c r="S8" i="1"/>
  <c r="T8" i="1"/>
  <c r="U8" i="1"/>
  <c r="V8" i="1"/>
  <c r="S9" i="1"/>
  <c r="T9" i="1"/>
  <c r="U9" i="1"/>
  <c r="V9" i="1"/>
  <c r="S10" i="1"/>
  <c r="T10" i="1"/>
  <c r="U10" i="1"/>
  <c r="V10" i="1"/>
  <c r="S11" i="1"/>
  <c r="T11" i="1"/>
  <c r="U11" i="1"/>
  <c r="V11" i="1"/>
  <c r="S12" i="1"/>
  <c r="T12" i="1"/>
  <c r="U12" i="1"/>
  <c r="V12" i="1"/>
  <c r="S13" i="1"/>
  <c r="T13" i="1"/>
  <c r="U13" i="1"/>
  <c r="V13" i="1"/>
  <c r="S14" i="1"/>
  <c r="U14" i="1"/>
  <c r="V14" i="1"/>
  <c r="S15" i="1"/>
  <c r="T15" i="1"/>
  <c r="U15" i="1"/>
  <c r="V15" i="1"/>
  <c r="S16" i="1"/>
  <c r="U16" i="1"/>
  <c r="V16" i="1"/>
  <c r="S17" i="1"/>
  <c r="U17" i="1"/>
  <c r="V17" i="1"/>
  <c r="S18" i="1"/>
  <c r="T18" i="1"/>
  <c r="U18" i="1"/>
  <c r="V18" i="1"/>
  <c r="S19" i="1"/>
  <c r="T19" i="1"/>
  <c r="U19" i="1"/>
  <c r="V19" i="1"/>
  <c r="S20" i="1"/>
  <c r="T20" i="1"/>
  <c r="U20" i="1"/>
  <c r="V20" i="1"/>
  <c r="S21" i="1"/>
  <c r="U21" i="1"/>
  <c r="V21" i="1"/>
  <c r="S22" i="1"/>
  <c r="U22" i="1"/>
  <c r="V22" i="1"/>
  <c r="S23" i="1"/>
  <c r="U23" i="1"/>
  <c r="V23" i="1"/>
  <c r="S24" i="1"/>
  <c r="U24" i="1"/>
  <c r="V24" i="1"/>
  <c r="S25" i="1"/>
  <c r="T25" i="1"/>
  <c r="U25" i="1"/>
  <c r="V25" i="1"/>
  <c r="S26" i="1"/>
  <c r="T26" i="1"/>
  <c r="U26" i="1"/>
  <c r="V26" i="1"/>
  <c r="S27" i="1"/>
  <c r="T27" i="1"/>
  <c r="U27" i="1"/>
  <c r="V27" i="1"/>
  <c r="S28" i="1"/>
  <c r="T28" i="1"/>
  <c r="U28" i="1"/>
  <c r="V28" i="1"/>
  <c r="S29" i="1"/>
  <c r="T29" i="1"/>
  <c r="U29" i="1"/>
  <c r="V29" i="1"/>
  <c r="U4" i="1"/>
  <c r="V4" i="1"/>
  <c r="S4" i="1"/>
  <c r="V30" i="1" l="1"/>
  <c r="V33" i="1" s="1"/>
  <c r="S30" i="1"/>
  <c r="S33" i="1" s="1"/>
  <c r="U30" i="1"/>
  <c r="U33" i="1" s="1"/>
  <c r="T30" i="1"/>
  <c r="L32" i="1"/>
  <c r="K32" i="1"/>
  <c r="J32" i="1"/>
  <c r="L31" i="1"/>
  <c r="K31" i="1"/>
  <c r="J31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L23" i="1"/>
  <c r="K23" i="1"/>
  <c r="L22" i="1"/>
  <c r="K22" i="1"/>
  <c r="L21" i="1"/>
  <c r="K21" i="1"/>
  <c r="L20" i="1"/>
  <c r="K20" i="1"/>
  <c r="J20" i="1"/>
  <c r="L19" i="1"/>
  <c r="K19" i="1"/>
  <c r="J19" i="1"/>
  <c r="L18" i="1"/>
  <c r="K18" i="1"/>
  <c r="J18" i="1"/>
  <c r="L17" i="1"/>
  <c r="K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L9" i="1"/>
  <c r="K9" i="1"/>
  <c r="J9" i="1"/>
  <c r="L8" i="1"/>
  <c r="K8" i="1"/>
  <c r="J8" i="1"/>
  <c r="L7" i="1"/>
  <c r="K7" i="1"/>
  <c r="L6" i="1"/>
  <c r="K6" i="1"/>
  <c r="L5" i="1"/>
  <c r="K5" i="1"/>
  <c r="L4" i="1"/>
  <c r="K4" i="1"/>
  <c r="L30" i="1" l="1"/>
  <c r="L33" i="1" s="1"/>
  <c r="J30" i="1"/>
  <c r="K30" i="1"/>
  <c r="K33" i="1" s="1"/>
  <c r="M35" i="1"/>
  <c r="R32" i="1"/>
  <c r="R31" i="1"/>
  <c r="R29" i="1"/>
  <c r="R28" i="1"/>
  <c r="R27" i="1"/>
  <c r="R26" i="1"/>
  <c r="R25" i="1"/>
  <c r="O24" i="1"/>
  <c r="G24" i="1"/>
  <c r="J24" i="1" s="1"/>
  <c r="O23" i="1"/>
  <c r="T23" i="1" s="1"/>
  <c r="G23" i="1"/>
  <c r="J23" i="1" s="1"/>
  <c r="O22" i="1"/>
  <c r="G22" i="1"/>
  <c r="J22" i="1" s="1"/>
  <c r="O21" i="1"/>
  <c r="T21" i="1" s="1"/>
  <c r="G21" i="1"/>
  <c r="J21" i="1" s="1"/>
  <c r="R20" i="1"/>
  <c r="R19" i="1"/>
  <c r="R18" i="1"/>
  <c r="O17" i="1"/>
  <c r="T17" i="1" s="1"/>
  <c r="G17" i="1"/>
  <c r="J17" i="1" s="1"/>
  <c r="O16" i="1"/>
  <c r="R15" i="1"/>
  <c r="O14" i="1"/>
  <c r="R13" i="1"/>
  <c r="R12" i="1"/>
  <c r="R11" i="1"/>
  <c r="R10" i="1"/>
  <c r="G10" i="1"/>
  <c r="J10" i="1" s="1"/>
  <c r="R9" i="1"/>
  <c r="R8" i="1"/>
  <c r="O7" i="1"/>
  <c r="G7" i="1"/>
  <c r="J7" i="1" s="1"/>
  <c r="O6" i="1"/>
  <c r="G6" i="1"/>
  <c r="J6" i="1" s="1"/>
  <c r="O5" i="1"/>
  <c r="T5" i="1" s="1"/>
  <c r="G5" i="1"/>
  <c r="J5" i="1" s="1"/>
  <c r="O4" i="1"/>
  <c r="G4" i="1"/>
  <c r="J4" i="1" s="1"/>
  <c r="J33" i="1" l="1"/>
  <c r="M33" i="1" s="1"/>
  <c r="R22" i="1"/>
  <c r="T22" i="1"/>
  <c r="R7" i="1"/>
  <c r="T7" i="1"/>
  <c r="R14" i="1"/>
  <c r="T14" i="1"/>
  <c r="R24" i="1"/>
  <c r="T24" i="1"/>
  <c r="W24" i="1" s="1"/>
  <c r="R4" i="1"/>
  <c r="T4" i="1"/>
  <c r="R6" i="1"/>
  <c r="T6" i="1"/>
  <c r="R16" i="1"/>
  <c r="T16" i="1"/>
  <c r="W9" i="1"/>
  <c r="R5" i="1"/>
  <c r="W25" i="1"/>
  <c r="W5" i="1"/>
  <c r="R21" i="1"/>
  <c r="M31" i="1"/>
  <c r="M32" i="1"/>
  <c r="M7" i="1"/>
  <c r="R17" i="1"/>
  <c r="W20" i="1"/>
  <c r="R23" i="1"/>
  <c r="T33" i="1" l="1"/>
  <c r="W33" i="1" s="1"/>
  <c r="M10" i="1"/>
  <c r="M6" i="1"/>
  <c r="W29" i="1"/>
  <c r="W7" i="1"/>
  <c r="W17" i="1"/>
  <c r="M5" i="1"/>
  <c r="W32" i="1"/>
  <c r="W18" i="1"/>
  <c r="W10" i="1"/>
  <c r="W12" i="1"/>
  <c r="W23" i="1"/>
  <c r="M9" i="1"/>
  <c r="W26" i="1"/>
  <c r="W22" i="1"/>
  <c r="W15" i="1"/>
  <c r="W28" i="1"/>
  <c r="W13" i="1"/>
  <c r="W31" i="1"/>
  <c r="W16" i="1"/>
  <c r="W19" i="1"/>
  <c r="W14" i="1"/>
  <c r="W11" i="1"/>
  <c r="W6" i="1"/>
  <c r="W4" i="1"/>
  <c r="W27" i="1"/>
  <c r="W21" i="1"/>
  <c r="M11" i="1"/>
  <c r="W8" i="1"/>
  <c r="M8" i="1"/>
  <c r="M4" i="1"/>
  <c r="T34" i="1" l="1"/>
  <c r="S34" i="1"/>
  <c r="U34" i="1"/>
  <c r="M13" i="1"/>
  <c r="M12" i="1"/>
  <c r="W30" i="1"/>
  <c r="U39" i="1" l="1"/>
  <c r="D9" i="2" s="1"/>
  <c r="D7" i="2"/>
  <c r="S39" i="1"/>
  <c r="C9" i="2" s="1"/>
  <c r="C7" i="2"/>
  <c r="U40" i="1"/>
  <c r="V34" i="1"/>
  <c r="M14" i="1"/>
  <c r="M15" i="1"/>
  <c r="D10" i="2" l="1"/>
  <c r="C10" i="2"/>
  <c r="C11" i="2" s="1"/>
  <c r="S40" i="1"/>
  <c r="V39" i="1"/>
  <c r="E9" i="2" s="1"/>
  <c r="F9" i="2" s="1"/>
  <c r="E7" i="2"/>
  <c r="M17" i="1"/>
  <c r="M16" i="1"/>
  <c r="W34" i="1"/>
  <c r="V40" i="1" l="1"/>
  <c r="W39" i="1"/>
  <c r="E10" i="2"/>
  <c r="M18" i="1"/>
  <c r="M19" i="1"/>
  <c r="M21" i="1" l="1"/>
  <c r="M20" i="1"/>
  <c r="M22" i="1" l="1"/>
  <c r="M23" i="1"/>
  <c r="M24" i="1" l="1"/>
  <c r="M25" i="1"/>
  <c r="M27" i="1" l="1"/>
  <c r="M26" i="1"/>
  <c r="K34" i="1" l="1"/>
  <c r="D2" i="2" s="1"/>
  <c r="L34" i="1"/>
  <c r="E2" i="2" s="1"/>
  <c r="M28" i="1"/>
  <c r="M29" i="1"/>
  <c r="L39" i="1" l="1"/>
  <c r="K39" i="1"/>
  <c r="M30" i="1"/>
  <c r="K40" i="1" l="1"/>
  <c r="D4" i="2"/>
  <c r="E4" i="2"/>
  <c r="E6" i="2" s="1"/>
  <c r="E11" i="2" s="1"/>
  <c r="L40" i="1"/>
  <c r="M39" i="1"/>
  <c r="T35" i="1"/>
  <c r="B7" i="2" s="1"/>
  <c r="J34" i="1"/>
  <c r="J36" i="1" s="1"/>
  <c r="B3" i="2" s="1"/>
  <c r="F4" i="2" l="1"/>
  <c r="D6" i="2"/>
  <c r="D11" i="2" s="1"/>
  <c r="B2" i="2"/>
  <c r="F2" i="2" s="1"/>
  <c r="T36" i="1"/>
  <c r="J40" i="1"/>
  <c r="M36" i="1"/>
  <c r="M34" i="1"/>
  <c r="W35" i="1"/>
  <c r="W36" i="1" l="1"/>
  <c r="B8" i="2"/>
  <c r="M40" i="1"/>
  <c r="T40" i="1"/>
  <c r="W40" i="1"/>
  <c r="B6" i="2"/>
  <c r="B12" i="2"/>
  <c r="F3" i="2"/>
  <c r="F6" i="2" s="1"/>
  <c r="G6" i="2" s="1"/>
  <c r="F8" i="2" l="1"/>
  <c r="B10" i="2"/>
  <c r="B11" i="2" s="1"/>
  <c r="F7" i="2"/>
  <c r="F10" i="2" l="1"/>
  <c r="F11" i="2" l="1"/>
  <c r="G11" i="2" s="1"/>
  <c r="G10" i="2"/>
</calcChain>
</file>

<file path=xl/sharedStrings.xml><?xml version="1.0" encoding="utf-8"?>
<sst xmlns="http://schemas.openxmlformats.org/spreadsheetml/2006/main" count="174" uniqueCount="128">
  <si>
    <t>Quantità opzionali per 36 mesi</t>
  </si>
  <si>
    <t>SOGEI</t>
  </si>
  <si>
    <t>Corte dei Conti</t>
  </si>
  <si>
    <t>Dipartimento del Tesoro</t>
  </si>
  <si>
    <t>Opzionale Ministero dell’Istruzione e del Merito</t>
  </si>
  <si>
    <t>Opzionale Sogei</t>
  </si>
  <si>
    <t>Opzionale Corte dei Conti</t>
  </si>
  <si>
    <t>Opzionale Dipartimento del Tesoro</t>
  </si>
  <si>
    <t>Quantità totali acquisizioni opzionali</t>
  </si>
  <si>
    <t>Sogei</t>
  </si>
  <si>
    <t>Importo base stimato totale</t>
  </si>
  <si>
    <t>Importo opzionale stimato totale</t>
  </si>
  <si>
    <t>PROD17145</t>
  </si>
  <si>
    <t>Customer Service Management Professional With App Engine 100 - Fulfiller User v6</t>
  </si>
  <si>
    <t>Fulfiller User</t>
  </si>
  <si>
    <t>PROD17256</t>
  </si>
  <si>
    <t>IT Service Management Professional - Fulfiller User v3</t>
  </si>
  <si>
    <t>PROD17800</t>
  </si>
  <si>
    <t>Business Stakeholder User v4</t>
  </si>
  <si>
    <t>Business Stakeholder User</t>
  </si>
  <si>
    <t>PROD15033</t>
  </si>
  <si>
    <t>Software Asset Management Professional - Subscription Unit</t>
  </si>
  <si>
    <t>Subscription unit</t>
  </si>
  <si>
    <t>PROD15034</t>
  </si>
  <si>
    <t>Software Asset Management Enterprise - Subscription Unit</t>
  </si>
  <si>
    <t>Hardware Asset Management Professional - Subscription Unit v2</t>
  </si>
  <si>
    <t>PROD18234</t>
  </si>
  <si>
    <t>Enterprise Asset Management Professional - EAM Operator</t>
  </si>
  <si>
    <t>Operator</t>
  </si>
  <si>
    <t>PROD14995</t>
  </si>
  <si>
    <t>ITOM Operator Professional v2</t>
  </si>
  <si>
    <t>PROD14999</t>
  </si>
  <si>
    <t>IT Operations Management Optimization v2</t>
  </si>
  <si>
    <t>Subscription Unit</t>
  </si>
  <si>
    <t>PROD16963</t>
  </si>
  <si>
    <t>ITOM AIOps Enterprise v2</t>
  </si>
  <si>
    <t>PROD16744</t>
  </si>
  <si>
    <t>Security Operations Professional - SIR - Unrestricted User</t>
  </si>
  <si>
    <t>Unrestricted User</t>
  </si>
  <si>
    <t>PROD16746</t>
  </si>
  <si>
    <t>Data Loss Prevention Incident Response - Unrestricted User</t>
  </si>
  <si>
    <t>PROD16944</t>
  </si>
  <si>
    <t>Application Portfolio Management - Business Application v2</t>
  </si>
  <si>
    <t>Business Application</t>
  </si>
  <si>
    <t>PROD16951</t>
  </si>
  <si>
    <t>Strategic Portfolio Management Standard - SPM User</t>
  </si>
  <si>
    <t>SPM User</t>
  </si>
  <si>
    <t>PROD16953</t>
  </si>
  <si>
    <t>Strategic Portfolio Management Professional - SPM User</t>
  </si>
  <si>
    <t>PROD12490</t>
  </si>
  <si>
    <t>Integrated Risk Management Professional - IRM Operator</t>
  </si>
  <si>
    <t>IRM Operator</t>
  </si>
  <si>
    <t>PROD12023</t>
  </si>
  <si>
    <t>Vendor Risk Management – Vendors</t>
  </si>
  <si>
    <t>Vendors</t>
  </si>
  <si>
    <t>PROD16286</t>
  </si>
  <si>
    <t>Privacy Management Standard - Privacy Operator</t>
  </si>
  <si>
    <t>Privacy Operator</t>
  </si>
  <si>
    <t>PROD14201</t>
  </si>
  <si>
    <t>Business Continuity Management Professional v2 - BCM Operator</t>
  </si>
  <si>
    <t>BCM Operator</t>
  </si>
  <si>
    <t>App Engine – Fulfiller</t>
  </si>
  <si>
    <t>PROD18126</t>
  </si>
  <si>
    <t xml:space="preserve"> Integrated Risk Management – IRM - Lite Operator</t>
  </si>
  <si>
    <t>IRM Lite Operator</t>
  </si>
  <si>
    <t>PROD18127</t>
  </si>
  <si>
    <t>Business Continuity Management – BCM - Lite Operator</t>
  </si>
  <si>
    <t>BCM Lite Operator</t>
  </si>
  <si>
    <t>PROD18249</t>
  </si>
  <si>
    <t>Automation Engine Enterprise v2 – Unattended Robot</t>
  </si>
  <si>
    <t>Unattended Robot</t>
  </si>
  <si>
    <t>PROD19395</t>
  </si>
  <si>
    <t>Automation Engine Professional v3 – Unattended Robot</t>
  </si>
  <si>
    <t>PROD17237</t>
  </si>
  <si>
    <t>HR Service Delivery Professional-HR User v4</t>
  </si>
  <si>
    <t>HR User</t>
  </si>
  <si>
    <t>PROD11370</t>
  </si>
  <si>
    <t>Employee Document Management - Application v2</t>
  </si>
  <si>
    <t>no</t>
  </si>
  <si>
    <t>si</t>
  </si>
  <si>
    <t>PROD19255</t>
  </si>
  <si>
    <t>Workplace Service Delivery- Workplace User v4</t>
  </si>
  <si>
    <t>Workplace user</t>
  </si>
  <si>
    <t>PROD18124</t>
  </si>
  <si>
    <t>ESG Management</t>
  </si>
  <si>
    <t>Subscription unit (1X100metriche)</t>
  </si>
  <si>
    <t>Totale Parziale</t>
  </si>
  <si>
    <t>PROD16906</t>
  </si>
  <si>
    <t>Platform Encryption</t>
  </si>
  <si>
    <t>SI</t>
  </si>
  <si>
    <t>PROD16290</t>
  </si>
  <si>
    <t>Totale</t>
  </si>
  <si>
    <t>MIM</t>
  </si>
  <si>
    <t>Cdc</t>
  </si>
  <si>
    <t>DT</t>
  </si>
  <si>
    <t>TOTALE</t>
  </si>
  <si>
    <t>SOTTOSCRIZIONI base</t>
  </si>
  <si>
    <t>TOTALE perimetro base</t>
  </si>
  <si>
    <t>perimetro opzionale</t>
  </si>
  <si>
    <t>TOTALE perimetro opzionale</t>
  </si>
  <si>
    <t>sconto</t>
  </si>
  <si>
    <t>Impact advanced boost x Gov</t>
  </si>
  <si>
    <t>Impact Advanced</t>
  </si>
  <si>
    <t>Impegno annuo Sogei base</t>
  </si>
  <si>
    <t>PROD15871</t>
  </si>
  <si>
    <t>Domain Separation for MSP Customer</t>
  </si>
  <si>
    <t>Offerta</t>
  </si>
  <si>
    <t>Codice Prodotto</t>
  </si>
  <si>
    <t>Descrizione Prodotto</t>
  </si>
  <si>
    <t>Metrica</t>
  </si>
  <si>
    <t>DETTAGLIO QUOTAZIONI</t>
  </si>
  <si>
    <t>PROD19351</t>
  </si>
  <si>
    <t>PROD20239</t>
  </si>
  <si>
    <t>PROD20826</t>
  </si>
  <si>
    <t xml:space="preserve"> Security Operations Enterprise - VR - Devices</t>
  </si>
  <si>
    <t>PROD12395</t>
  </si>
  <si>
    <t>Customer Success – 1 Day Platform Architect (Italy)</t>
  </si>
  <si>
    <t>PROD09871</t>
  </si>
  <si>
    <t>Enterprise Support Account Management</t>
  </si>
  <si>
    <t>Success</t>
  </si>
  <si>
    <t>Enterprise</t>
  </si>
  <si>
    <t>PROD16252</t>
  </si>
  <si>
    <t>Impact Guided</t>
  </si>
  <si>
    <t>Segnalazioni</t>
  </si>
  <si>
    <t>Impact Advanced opzionale</t>
  </si>
  <si>
    <t>Impact Guided opzionale</t>
  </si>
  <si>
    <t>%</t>
  </si>
  <si>
    <t>Valori di riferimento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</si>
</sst>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[$€-2]\ * #,##0.00_-;\-[$€-2]\ * #,##0.00_-;_-[$€-2]\ * &quot;-&quot;??_-;_-@_-"/>
    <numFmt numFmtId="165" formatCode="_([$€-2]\ * #,##0.00_);_([$€-2]\ * \(#,##0.00\);_([$€-2]\ * &quot;-&quot;??_);_(@_)"/>
    <numFmt numFmtId="166" formatCode="_-* #,##0.00\ &quot;€&quot;_-;\-* #,##0.00\ &quot;€&quot;_-;_-* &quot;-&quot;??\ &quot;€&quot;_-;_-@_-"/>
    <numFmt numFmtId="167" formatCode="0.0000%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 (Body)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B9BD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02">
    <xf numFmtId="0" fontId="0" fillId="0" borderId="0" xfId="0"/>
    <xf numFmtId="44" fontId="10" fillId="11" borderId="7" xfId="2" applyFont="1" applyFill="1" applyBorder="1" applyAlignment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10" xfId="0" applyFont="1" applyBorder="1" applyProtection="1"/>
    <xf numFmtId="44" fontId="6" fillId="8" borderId="1" xfId="2" applyFont="1" applyFill="1" applyBorder="1" applyAlignment="1" applyProtection="1">
      <alignment vertical="center"/>
    </xf>
    <xf numFmtId="0" fontId="3" fillId="9" borderId="1" xfId="0" applyFont="1" applyFill="1" applyBorder="1" applyAlignment="1" applyProtection="1">
      <alignment wrapText="1"/>
    </xf>
    <xf numFmtId="0" fontId="3" fillId="9" borderId="1" xfId="0" applyFont="1" applyFill="1" applyBorder="1" applyProtection="1"/>
    <xf numFmtId="44" fontId="6" fillId="9" borderId="1" xfId="2" applyFont="1" applyFill="1" applyBorder="1" applyAlignment="1" applyProtection="1">
      <alignment vertical="center"/>
    </xf>
    <xf numFmtId="44" fontId="6" fillId="3" borderId="1" xfId="2" applyFont="1" applyFill="1" applyBorder="1" applyAlignment="1" applyProtection="1">
      <alignment vertical="center"/>
    </xf>
    <xf numFmtId="166" fontId="0" fillId="0" borderId="0" xfId="0" applyNumberFormat="1" applyProtection="1"/>
    <xf numFmtId="44" fontId="0" fillId="0" borderId="0" xfId="0" applyNumberFormat="1" applyProtection="1"/>
    <xf numFmtId="3" fontId="0" fillId="0" borderId="0" xfId="0" applyNumberFormat="1" applyProtection="1"/>
    <xf numFmtId="10" fontId="0" fillId="0" borderId="0" xfId="3" applyNumberFormat="1" applyFont="1" applyProtection="1"/>
    <xf numFmtId="43" fontId="0" fillId="0" borderId="0" xfId="1" applyFont="1" applyProtection="1"/>
    <xf numFmtId="167" fontId="0" fillId="0" borderId="0" xfId="3" applyNumberFormat="1" applyFont="1" applyProtection="1"/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vertical="center" wrapText="1"/>
    </xf>
    <xf numFmtId="0" fontId="2" fillId="2" borderId="16" xfId="0" applyFont="1" applyFill="1" applyBorder="1" applyAlignment="1" applyProtection="1">
      <alignment vertical="center" wrapText="1"/>
    </xf>
    <xf numFmtId="0" fontId="2" fillId="2" borderId="18" xfId="0" applyFont="1" applyFill="1" applyBorder="1" applyAlignment="1" applyProtection="1">
      <alignment vertical="center" wrapText="1"/>
    </xf>
    <xf numFmtId="0" fontId="11" fillId="12" borderId="1" xfId="0" applyFont="1" applyFill="1" applyBorder="1" applyAlignment="1" applyProtection="1">
      <alignment horizontal="left" vertical="center" wrapText="1"/>
      <protection hidden="1"/>
    </xf>
    <xf numFmtId="0" fontId="9" fillId="10" borderId="7" xfId="4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3" fillId="12" borderId="1" xfId="0" applyFont="1" applyFill="1" applyBorder="1" applyAlignment="1" applyProtection="1">
      <alignment horizontal="left" vertical="center"/>
      <protection hidden="1"/>
    </xf>
    <xf numFmtId="0" fontId="4" fillId="12" borderId="1" xfId="0" applyFont="1" applyFill="1" applyBorder="1" applyAlignment="1" applyProtection="1">
      <alignment horizontal="left" vertical="center" wrapText="1"/>
      <protection hidden="1"/>
    </xf>
    <xf numFmtId="164" fontId="4" fillId="12" borderId="1" xfId="0" applyNumberFormat="1" applyFont="1" applyFill="1" applyBorder="1" applyAlignment="1" applyProtection="1">
      <alignment vertical="center"/>
      <protection hidden="1"/>
    </xf>
    <xf numFmtId="44" fontId="3" fillId="0" borderId="1" xfId="2" applyFont="1" applyFill="1" applyBorder="1" applyAlignment="1" applyProtection="1">
      <alignment horizontal="right" vertical="center"/>
      <protection locked="0" hidden="1"/>
    </xf>
    <xf numFmtId="10" fontId="4" fillId="0" borderId="11" xfId="3" applyNumberFormat="1" applyFont="1" applyBorder="1" applyAlignment="1" applyProtection="1">
      <alignment vertical="center"/>
      <protection hidden="1"/>
    </xf>
    <xf numFmtId="3" fontId="3" fillId="4" borderId="4" xfId="0" applyNumberFormat="1" applyFont="1" applyFill="1" applyBorder="1" applyAlignment="1" applyProtection="1">
      <alignment vertical="center"/>
      <protection hidden="1"/>
    </xf>
    <xf numFmtId="44" fontId="3" fillId="4" borderId="4" xfId="2" applyFont="1" applyFill="1" applyBorder="1" applyAlignment="1" applyProtection="1">
      <alignment vertical="center"/>
      <protection hidden="1"/>
    </xf>
    <xf numFmtId="44" fontId="3" fillId="4" borderId="4" xfId="0" applyNumberFormat="1" applyFont="1" applyFill="1" applyBorder="1" applyAlignment="1" applyProtection="1">
      <alignment vertical="center"/>
      <protection hidden="1"/>
    </xf>
    <xf numFmtId="0" fontId="3" fillId="12" borderId="1" xfId="0" applyFont="1" applyFill="1" applyBorder="1" applyAlignment="1" applyProtection="1">
      <alignment horizontal="left" vertical="center" wrapText="1"/>
      <protection hidden="1"/>
    </xf>
    <xf numFmtId="164" fontId="3" fillId="12" borderId="1" xfId="0" applyNumberFormat="1" applyFont="1" applyFill="1" applyBorder="1" applyAlignment="1" applyProtection="1">
      <alignment vertical="center"/>
      <protection hidden="1"/>
    </xf>
    <xf numFmtId="3" fontId="3" fillId="4" borderId="5" xfId="0" applyNumberFormat="1" applyFont="1" applyFill="1" applyBorder="1" applyAlignment="1" applyProtection="1">
      <alignment vertical="center"/>
      <protection hidden="1"/>
    </xf>
    <xf numFmtId="3" fontId="3" fillId="4" borderId="5" xfId="0" applyNumberFormat="1" applyFont="1" applyFill="1" applyBorder="1" applyAlignment="1" applyProtection="1">
      <alignment vertical="center" wrapText="1"/>
      <protection hidden="1"/>
    </xf>
    <xf numFmtId="3" fontId="3" fillId="0" borderId="5" xfId="0" applyNumberFormat="1" applyFont="1" applyBorder="1" applyAlignment="1" applyProtection="1">
      <alignment vertical="center"/>
      <protection hidden="1"/>
    </xf>
    <xf numFmtId="3" fontId="5" fillId="4" borderId="5" xfId="0" applyNumberFormat="1" applyFont="1" applyFill="1" applyBorder="1" applyAlignment="1" applyProtection="1">
      <alignment vertical="center"/>
      <protection hidden="1"/>
    </xf>
    <xf numFmtId="165" fontId="3" fillId="12" borderId="1" xfId="0" applyNumberFormat="1" applyFont="1" applyFill="1" applyBorder="1" applyAlignment="1" applyProtection="1">
      <alignment vertical="center"/>
      <protection hidden="1"/>
    </xf>
    <xf numFmtId="9" fontId="3" fillId="12" borderId="1" xfId="3" applyFont="1" applyFill="1" applyBorder="1" applyAlignment="1" applyProtection="1">
      <alignment vertical="center"/>
      <protection hidden="1"/>
    </xf>
    <xf numFmtId="9" fontId="3" fillId="0" borderId="1" xfId="3" quotePrefix="1" applyFont="1" applyFill="1" applyBorder="1" applyAlignment="1" applyProtection="1">
      <alignment horizontal="right" vertical="center" wrapText="1"/>
      <protection locked="0" hidden="1"/>
    </xf>
    <xf numFmtId="164" fontId="3" fillId="0" borderId="12" xfId="0" applyNumberFormat="1" applyFont="1" applyBorder="1" applyAlignment="1" applyProtection="1">
      <alignment vertical="center"/>
      <protection hidden="1"/>
    </xf>
    <xf numFmtId="3" fontId="3" fillId="4" borderId="5" xfId="0" applyNumberFormat="1" applyFont="1" applyFill="1" applyBorder="1" applyAlignment="1" applyProtection="1">
      <alignment horizontal="center" vertical="center"/>
      <protection hidden="1"/>
    </xf>
    <xf numFmtId="44" fontId="3" fillId="5" borderId="5" xfId="2" applyFont="1" applyFill="1" applyBorder="1" applyAlignment="1" applyProtection="1">
      <alignment vertical="center"/>
      <protection hidden="1"/>
    </xf>
    <xf numFmtId="44" fontId="6" fillId="12" borderId="1" xfId="2" applyFont="1" applyFill="1" applyBorder="1" applyAlignment="1" applyProtection="1">
      <alignment horizontal="left" vertical="center"/>
      <protection hidden="1"/>
    </xf>
    <xf numFmtId="0" fontId="6" fillId="12" borderId="1" xfId="0" applyFont="1" applyFill="1" applyBorder="1" applyAlignment="1" applyProtection="1">
      <alignment horizontal="left" vertical="center" wrapText="1"/>
      <protection hidden="1"/>
    </xf>
    <xf numFmtId="164" fontId="6" fillId="12" borderId="1" xfId="0" applyNumberFormat="1" applyFont="1" applyFill="1" applyBorder="1" applyAlignment="1" applyProtection="1">
      <alignment vertical="center"/>
      <protection hidden="1"/>
    </xf>
    <xf numFmtId="164" fontId="6" fillId="0" borderId="1" xfId="0" applyNumberFormat="1" applyFont="1" applyFill="1" applyBorder="1" applyAlignment="1" applyProtection="1">
      <alignment horizontal="right" vertical="center"/>
      <protection locked="0" hidden="1"/>
    </xf>
    <xf numFmtId="0" fontId="6" fillId="6" borderId="8" xfId="0" applyFont="1" applyFill="1" applyBorder="1" applyAlignment="1" applyProtection="1">
      <alignment vertical="center"/>
      <protection hidden="1"/>
    </xf>
    <xf numFmtId="44" fontId="6" fillId="6" borderId="8" xfId="2" applyFont="1" applyFill="1" applyBorder="1" applyAlignment="1" applyProtection="1">
      <alignment vertical="center"/>
      <protection hidden="1"/>
    </xf>
    <xf numFmtId="44" fontId="6" fillId="7" borderId="8" xfId="2" applyFont="1" applyFill="1" applyBorder="1" applyAlignment="1" applyProtection="1">
      <alignment vertical="center"/>
      <protection hidden="1"/>
    </xf>
    <xf numFmtId="3" fontId="3" fillId="6" borderId="9" xfId="0" applyNumberFormat="1" applyFont="1" applyFill="1" applyBorder="1" applyAlignment="1" applyProtection="1">
      <alignment vertical="center"/>
      <protection hidden="1"/>
    </xf>
    <xf numFmtId="10" fontId="3" fillId="12" borderId="1" xfId="3" applyNumberFormat="1" applyFont="1" applyFill="1" applyBorder="1" applyAlignment="1" applyProtection="1">
      <alignment horizontal="right" vertical="center" wrapText="1"/>
      <protection hidden="1"/>
    </xf>
    <xf numFmtId="10" fontId="3" fillId="0" borderId="1" xfId="3" applyNumberFormat="1" applyFont="1" applyFill="1" applyBorder="1" applyAlignment="1" applyProtection="1">
      <alignment horizontal="right" vertical="center" wrapText="1"/>
      <protection locked="0" hidden="1"/>
    </xf>
    <xf numFmtId="0" fontId="3" fillId="4" borderId="4" xfId="0" applyFont="1" applyFill="1" applyBorder="1" applyAlignment="1" applyProtection="1">
      <alignment horizontal="center" vertical="center"/>
      <protection hidden="1"/>
    </xf>
    <xf numFmtId="44" fontId="3" fillId="5" borderId="4" xfId="2" applyFont="1" applyFill="1" applyBorder="1" applyAlignment="1" applyProtection="1">
      <alignment vertical="center"/>
      <protection hidden="1"/>
    </xf>
    <xf numFmtId="10" fontId="3" fillId="12" borderId="1" xfId="3" applyNumberFormat="1" applyFont="1" applyFill="1" applyBorder="1" applyAlignment="1" applyProtection="1">
      <alignment horizontal="right" vertical="center"/>
      <protection hidden="1"/>
    </xf>
    <xf numFmtId="10" fontId="3" fillId="0" borderId="1" xfId="3" applyNumberFormat="1" applyFont="1" applyFill="1" applyBorder="1" applyAlignment="1" applyProtection="1">
      <alignment horizontal="right" vertical="center"/>
      <protection locked="0" hidden="1"/>
    </xf>
    <xf numFmtId="164" fontId="3" fillId="4" borderId="5" xfId="0" applyNumberFormat="1" applyFont="1" applyFill="1" applyBorder="1" applyAlignment="1" applyProtection="1">
      <alignment vertical="center"/>
      <protection hidden="1"/>
    </xf>
    <xf numFmtId="0" fontId="3" fillId="4" borderId="5" xfId="0" applyFont="1" applyFill="1" applyBorder="1" applyAlignment="1" applyProtection="1">
      <alignment vertical="center"/>
      <protection hidden="1"/>
    </xf>
    <xf numFmtId="0" fontId="3" fillId="4" borderId="5" xfId="0" applyFont="1" applyFill="1" applyBorder="1" applyAlignment="1" applyProtection="1">
      <alignment horizontal="center" vertical="center"/>
      <protection hidden="1"/>
    </xf>
    <xf numFmtId="16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3" fillId="4" borderId="6" xfId="0" applyFont="1" applyFill="1" applyBorder="1" applyAlignment="1" applyProtection="1">
      <alignment horizontal="center" vertical="center"/>
      <protection hidden="1"/>
    </xf>
    <xf numFmtId="44" fontId="3" fillId="5" borderId="6" xfId="2" applyFont="1" applyFill="1" applyBorder="1" applyAlignment="1" applyProtection="1">
      <alignment vertical="center"/>
      <protection hidden="1"/>
    </xf>
    <xf numFmtId="164" fontId="3" fillId="12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locked="0" hidden="1"/>
    </xf>
    <xf numFmtId="0" fontId="13" fillId="12" borderId="1" xfId="0" applyFont="1" applyFill="1" applyBorder="1" applyAlignment="1" applyProtection="1">
      <alignment horizontal="left" vertical="center" wrapText="1"/>
      <protection hidden="1"/>
    </xf>
    <xf numFmtId="44" fontId="3" fillId="5" borderId="19" xfId="2" applyFont="1" applyFill="1" applyBorder="1" applyAlignment="1" applyProtection="1">
      <alignment vertical="center"/>
      <protection hidden="1"/>
    </xf>
    <xf numFmtId="44" fontId="3" fillId="5" borderId="20" xfId="2" applyFont="1" applyFill="1" applyBorder="1" applyAlignment="1" applyProtection="1">
      <alignment vertical="center"/>
      <protection hidden="1"/>
    </xf>
    <xf numFmtId="44" fontId="3" fillId="5" borderId="21" xfId="2" applyFont="1" applyFill="1" applyBorder="1" applyAlignment="1" applyProtection="1">
      <alignment vertical="center"/>
      <protection hidden="1"/>
    </xf>
    <xf numFmtId="0" fontId="3" fillId="4" borderId="11" xfId="0" applyFont="1" applyFill="1" applyBorder="1" applyAlignment="1" applyProtection="1">
      <alignment horizontal="center" vertical="center"/>
      <protection hidden="1"/>
    </xf>
    <xf numFmtId="164" fontId="3" fillId="4" borderId="12" xfId="0" applyNumberFormat="1" applyFont="1" applyFill="1" applyBorder="1" applyAlignment="1" applyProtection="1">
      <alignment vertical="center"/>
      <protection hidden="1"/>
    </xf>
    <xf numFmtId="164" fontId="3" fillId="4" borderId="14" xfId="0" applyNumberFormat="1" applyFont="1" applyFill="1" applyBorder="1" applyAlignment="1" applyProtection="1">
      <alignment horizontal="center" vertical="center"/>
      <protection hidden="1"/>
    </xf>
    <xf numFmtId="44" fontId="3" fillId="4" borderId="1" xfId="0" applyNumberFormat="1" applyFont="1" applyFill="1" applyBorder="1" applyAlignment="1" applyProtection="1">
      <alignment vertical="center"/>
      <protection hidden="1"/>
    </xf>
    <xf numFmtId="0" fontId="3" fillId="0" borderId="0" xfId="0" applyFont="1"/>
    <xf numFmtId="44" fontId="5" fillId="10" borderId="7" xfId="2" applyFont="1" applyFill="1" applyBorder="1" applyAlignment="1" applyProtection="1">
      <alignment horizontal="center" vertical="center"/>
      <protection hidden="1"/>
    </xf>
    <xf numFmtId="44" fontId="14" fillId="11" borderId="7" xfId="2" applyFont="1" applyFill="1" applyBorder="1" applyAlignment="1">
      <alignment horizontal="center" vertical="center"/>
    </xf>
    <xf numFmtId="10" fontId="4" fillId="0" borderId="22" xfId="3" applyNumberFormat="1" applyFont="1" applyBorder="1" applyAlignment="1" applyProtection="1">
      <alignment vertical="center"/>
      <protection hidden="1"/>
    </xf>
    <xf numFmtId="44" fontId="3" fillId="4" borderId="23" xfId="2" applyFont="1" applyFill="1" applyBorder="1" applyAlignment="1" applyProtection="1">
      <alignment vertical="center"/>
      <protection hidden="1"/>
    </xf>
    <xf numFmtId="44" fontId="3" fillId="4" borderId="15" xfId="0" applyNumberFormat="1" applyFont="1" applyFill="1" applyBorder="1" applyAlignment="1" applyProtection="1">
      <alignment vertical="center"/>
      <protection hidden="1"/>
    </xf>
    <xf numFmtId="164" fontId="3" fillId="0" borderId="1" xfId="0" applyNumberFormat="1" applyFont="1" applyBorder="1" applyAlignment="1" applyProtection="1">
      <alignment horizontal="center" vertical="center"/>
      <protection hidden="1"/>
    </xf>
    <xf numFmtId="164" fontId="3" fillId="4" borderId="1" xfId="0" applyNumberFormat="1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44" fontId="3" fillId="5" borderId="1" xfId="2" applyFont="1" applyFill="1" applyBorder="1" applyAlignment="1" applyProtection="1">
      <alignment vertical="center"/>
      <protection hidden="1"/>
    </xf>
    <xf numFmtId="44" fontId="3" fillId="4" borderId="19" xfId="0" applyNumberFormat="1" applyFont="1" applyFill="1" applyBorder="1" applyAlignment="1" applyProtection="1">
      <alignment vertical="center"/>
      <protection hidden="1"/>
    </xf>
    <xf numFmtId="44" fontId="3" fillId="4" borderId="20" xfId="2" applyFont="1" applyFill="1" applyBorder="1" applyAlignment="1" applyProtection="1">
      <alignment vertical="center"/>
      <protection hidden="1"/>
    </xf>
    <xf numFmtId="44" fontId="6" fillId="7" borderId="24" xfId="0" applyNumberFormat="1" applyFont="1" applyFill="1" applyBorder="1" applyAlignment="1" applyProtection="1">
      <alignment vertical="center"/>
      <protection hidden="1"/>
    </xf>
    <xf numFmtId="44" fontId="3" fillId="4" borderId="25" xfId="0" applyNumberFormat="1" applyFont="1" applyFill="1" applyBorder="1" applyAlignment="1" applyProtection="1">
      <alignment vertical="center"/>
      <protection hidden="1"/>
    </xf>
    <xf numFmtId="44" fontId="3" fillId="4" borderId="17" xfId="0" applyNumberFormat="1" applyFont="1" applyFill="1" applyBorder="1" applyAlignment="1" applyProtection="1">
      <alignment vertical="center"/>
      <protection hidden="1"/>
    </xf>
    <xf numFmtId="164" fontId="11" fillId="12" borderId="1" xfId="0" applyNumberFormat="1" applyFont="1" applyFill="1" applyBorder="1" applyAlignment="1" applyProtection="1">
      <alignment vertical="center"/>
      <protection hidden="1"/>
    </xf>
    <xf numFmtId="164" fontId="15" fillId="12" borderId="1" xfId="0" applyNumberFormat="1" applyFont="1" applyFill="1" applyBorder="1" applyAlignment="1" applyProtection="1">
      <alignment vertical="center"/>
      <protection hidden="1"/>
    </xf>
    <xf numFmtId="3" fontId="3" fillId="4" borderId="12" xfId="0" applyNumberFormat="1" applyFont="1" applyFill="1" applyBorder="1" applyAlignment="1" applyProtection="1">
      <alignment vertical="center"/>
      <protection hidden="1"/>
    </xf>
    <xf numFmtId="0" fontId="6" fillId="6" borderId="13" xfId="0" applyFont="1" applyFill="1" applyBorder="1" applyAlignment="1" applyProtection="1">
      <alignment vertical="center"/>
      <protection hidden="1"/>
    </xf>
    <xf numFmtId="164" fontId="3" fillId="4" borderId="12" xfId="0" applyNumberFormat="1" applyFont="1" applyFill="1" applyBorder="1" applyAlignment="1" applyProtection="1">
      <alignment horizontal="center" vertical="center"/>
      <protection hidden="1"/>
    </xf>
    <xf numFmtId="3" fontId="3" fillId="4" borderId="14" xfId="0" applyNumberFormat="1" applyFont="1" applyFill="1" applyBorder="1" applyAlignment="1" applyProtection="1">
      <alignment vertical="center"/>
      <protection hidden="1"/>
    </xf>
    <xf numFmtId="164" fontId="3" fillId="4" borderId="2" xfId="0" applyNumberFormat="1" applyFont="1" applyFill="1" applyBorder="1" applyAlignment="1" applyProtection="1">
      <alignment horizontal="center" vertical="center"/>
      <protection hidden="1"/>
    </xf>
    <xf numFmtId="10" fontId="4" fillId="0" borderId="1" xfId="3" applyNumberFormat="1" applyFont="1" applyBorder="1" applyAlignment="1" applyProtection="1">
      <alignment vertical="center"/>
      <protection hidden="1"/>
    </xf>
    <xf numFmtId="164" fontId="6" fillId="6" borderId="1" xfId="0" applyNumberFormat="1" applyFont="1" applyFill="1" applyBorder="1" applyAlignment="1" applyProtection="1">
      <alignment vertical="center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12" fillId="13" borderId="1" xfId="0" applyFont="1" applyFill="1" applyBorder="1" applyAlignment="1" applyProtection="1">
      <alignment horizontal="center" vertical="center"/>
      <protection hidden="1"/>
    </xf>
  </cellXfs>
  <cellStyles count="5">
    <cellStyle name="Migliaia" xfId="1" builtinId="3"/>
    <cellStyle name="Normale" xfId="0" builtinId="0"/>
    <cellStyle name="Normale 2 4" xfId="4"/>
    <cellStyle name="Percentuale" xfId="3" builtinId="5"/>
    <cellStyle name="Valuta" xfId="2" builtinId="4"/>
  </cellStyles>
  <dxfs count="0"/>
  <tableStyles count="0" defaultTableStyle="TableStyleMedium2" defaultPivotStyle="PivotStyleLight16"/>
  <colors>
    <mruColors>
      <color rgb="FFE7EBF7"/>
      <color rgb="FF5B9B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surf.service-now.com/nav_to.do?uri=%2Fsales_product.do%3Fsys_id%3D095cd9d0db1eb050ee0a43c813961976%26sysparm_record_target%3Dsales_product%26sysparm_record_row%3D1%26sysparm_record_rows%3D1%26sysparm_record_list%3Du_product_codeSTARTSWITHPROD16290%255EORDERBYu_product_code" TargetMode="External"/><Relationship Id="rId1" Type="http://schemas.openxmlformats.org/officeDocument/2006/relationships/hyperlink" Target="https://surf.service-now.com/nav_to.do?uri=%2Fsales_product.do%3Fsys_id%3D095cd9d0db1eb050ee0a43c813961976%26sysparm_record_target%3Dsales_product%26sysparm_record_row%3D1%26sysparm_record_rows%3D1%26sysparm_record_list%3Du_product_codeSTARTSWITHPROD16290%255EORDERBYu_product_co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110" zoomScaleNormal="110" workbookViewId="0">
      <selection activeCell="G6" sqref="G6"/>
    </sheetView>
  </sheetViews>
  <sheetFormatPr defaultRowHeight="14.5"/>
  <cols>
    <col min="1" max="1" width="27.453125" customWidth="1"/>
    <col min="2" max="2" width="17.81640625" hidden="1" customWidth="1"/>
    <col min="3" max="3" width="14.81640625" hidden="1" customWidth="1"/>
    <col min="4" max="4" width="13.90625" hidden="1" customWidth="1"/>
    <col min="5" max="5" width="14.81640625" hidden="1" customWidth="1"/>
    <col min="6" max="6" width="17.81640625" customWidth="1"/>
    <col min="7" max="7" width="29.7265625" customWidth="1"/>
  </cols>
  <sheetData>
    <row r="1" spans="1:7" s="76" customFormat="1" ht="13" customHeight="1">
      <c r="A1" s="23"/>
      <c r="B1" s="23" t="s">
        <v>1</v>
      </c>
      <c r="C1" s="23" t="s">
        <v>92</v>
      </c>
      <c r="D1" s="23" t="s">
        <v>93</v>
      </c>
      <c r="E1" s="23" t="s">
        <v>94</v>
      </c>
      <c r="F1" s="23" t="s">
        <v>95</v>
      </c>
      <c r="G1" s="23" t="s">
        <v>123</v>
      </c>
    </row>
    <row r="2" spans="1:7" ht="15" hidden="1" thickBot="1">
      <c r="A2" s="22" t="s">
        <v>96</v>
      </c>
      <c r="B2" s="77">
        <f>'DETTAGLIO QUOTAZIONI'!J33+'DETTAGLIO QUOTAZIONI'!J34</f>
        <v>0</v>
      </c>
      <c r="C2" s="77"/>
      <c r="D2" s="77">
        <f>'DETTAGLIO QUOTAZIONI'!K33+'DETTAGLIO QUOTAZIONI'!K34</f>
        <v>0</v>
      </c>
      <c r="E2" s="77">
        <f>'DETTAGLIO QUOTAZIONI'!L33+'DETTAGLIO QUOTAZIONI'!L34</f>
        <v>0</v>
      </c>
      <c r="F2" s="77">
        <f>SUM(B2:E2)</f>
        <v>0</v>
      </c>
    </row>
    <row r="3" spans="1:7" ht="15" hidden="1" thickBot="1">
      <c r="A3" s="22" t="s">
        <v>102</v>
      </c>
      <c r="B3" s="77">
        <f>'DETTAGLIO QUOTAZIONI'!J36</f>
        <v>0</v>
      </c>
      <c r="C3" s="77"/>
      <c r="D3" s="77"/>
      <c r="E3" s="77"/>
      <c r="F3" s="77">
        <f t="shared" ref="F3:F5" si="0">SUM(B3:E3)</f>
        <v>0</v>
      </c>
    </row>
    <row r="4" spans="1:7" ht="15" hidden="1" thickBot="1">
      <c r="A4" s="22" t="s">
        <v>122</v>
      </c>
      <c r="B4" s="77"/>
      <c r="C4" s="77"/>
      <c r="D4" s="77">
        <f>+'DETTAGLIO QUOTAZIONI'!K39</f>
        <v>0</v>
      </c>
      <c r="E4" s="77">
        <f>+'DETTAGLIO QUOTAZIONI'!L39</f>
        <v>0</v>
      </c>
      <c r="F4" s="77">
        <f t="shared" si="0"/>
        <v>0</v>
      </c>
    </row>
    <row r="5" spans="1:7" ht="15" hidden="1" thickBot="1">
      <c r="A5" s="22" t="s">
        <v>101</v>
      </c>
      <c r="B5" s="77">
        <f>'DETTAGLIO QUOTAZIONI'!J37+'DETTAGLIO QUOTAZIONI'!J38</f>
        <v>0</v>
      </c>
      <c r="C5" s="77"/>
      <c r="D5" s="77"/>
      <c r="E5" s="77"/>
      <c r="F5" s="77">
        <f t="shared" si="0"/>
        <v>0</v>
      </c>
    </row>
    <row r="6" spans="1:7">
      <c r="A6" s="68" t="s">
        <v>97</v>
      </c>
      <c r="B6" s="28">
        <f>SUM(B2:B5)</f>
        <v>0</v>
      </c>
      <c r="C6" s="28">
        <f>SUM(C2:C5)</f>
        <v>0</v>
      </c>
      <c r="D6" s="28">
        <f>SUM(D2:D5)</f>
        <v>0</v>
      </c>
      <c r="E6" s="28">
        <f>SUM(E2:E5)</f>
        <v>0</v>
      </c>
      <c r="F6" s="92">
        <f>ROUND(SUM(F2:F5),2)</f>
        <v>0</v>
      </c>
      <c r="G6" s="91" t="str">
        <f>IF(F6&gt;22178026.56,"Offerta superiore alla Base d'Asta","")</f>
        <v/>
      </c>
    </row>
    <row r="7" spans="1:7" ht="15" hidden="1" thickBot="1">
      <c r="A7" s="22" t="s">
        <v>98</v>
      </c>
      <c r="B7" s="77">
        <f>'DETTAGLIO QUOTAZIONI'!T33+'DETTAGLIO QUOTAZIONI'!T34+'DETTAGLIO QUOTAZIONI'!T35</f>
        <v>0</v>
      </c>
      <c r="C7" s="77">
        <f>'DETTAGLIO QUOTAZIONI'!S33+'DETTAGLIO QUOTAZIONI'!S34+'DETTAGLIO QUOTAZIONI'!S35</f>
        <v>0</v>
      </c>
      <c r="D7" s="77">
        <f>'DETTAGLIO QUOTAZIONI'!U33+'DETTAGLIO QUOTAZIONI'!U34+'DETTAGLIO QUOTAZIONI'!U35</f>
        <v>0</v>
      </c>
      <c r="E7" s="77">
        <f>'DETTAGLIO QUOTAZIONI'!V33+'DETTAGLIO QUOTAZIONI'!V34+'DETTAGLIO QUOTAZIONI'!V35</f>
        <v>0</v>
      </c>
      <c r="F7" s="77">
        <f>SUM(B7:E7)</f>
        <v>0</v>
      </c>
    </row>
    <row r="8" spans="1:7" ht="15" hidden="1" thickBot="1">
      <c r="A8" s="22" t="s">
        <v>124</v>
      </c>
      <c r="B8" s="77">
        <f>'DETTAGLIO QUOTAZIONI'!T36</f>
        <v>0</v>
      </c>
      <c r="C8" s="77"/>
      <c r="D8" s="77"/>
      <c r="E8" s="77"/>
      <c r="F8" s="77">
        <f>SUM(B8:E8)</f>
        <v>0</v>
      </c>
    </row>
    <row r="9" spans="1:7" ht="15" hidden="1" thickBot="1">
      <c r="A9" s="22" t="s">
        <v>125</v>
      </c>
      <c r="B9" s="77"/>
      <c r="C9" s="77">
        <f>'DETTAGLIO QUOTAZIONI'!S39</f>
        <v>0</v>
      </c>
      <c r="D9" s="77">
        <f>'DETTAGLIO QUOTAZIONI'!U39</f>
        <v>0</v>
      </c>
      <c r="E9" s="77">
        <f>'DETTAGLIO QUOTAZIONI'!V39</f>
        <v>0</v>
      </c>
      <c r="F9" s="77">
        <f>SUM(B9:E9)</f>
        <v>0</v>
      </c>
    </row>
    <row r="10" spans="1:7">
      <c r="A10" s="68" t="s">
        <v>99</v>
      </c>
      <c r="B10" s="28">
        <f>SUM(B7:B9)</f>
        <v>0</v>
      </c>
      <c r="C10" s="28">
        <f>SUM(C7:C9)</f>
        <v>0</v>
      </c>
      <c r="D10" s="28">
        <f>SUM(D7:D9)</f>
        <v>0</v>
      </c>
      <c r="E10" s="28">
        <f>SUM(E7:E9)</f>
        <v>0</v>
      </c>
      <c r="F10" s="92">
        <f>ROUND(SUM(F7:F9),2)</f>
        <v>0</v>
      </c>
      <c r="G10" s="91" t="str">
        <f>IF(F10&gt;13725605.9,"Offerta superiore alla Base d'Asta","")</f>
        <v/>
      </c>
    </row>
    <row r="11" spans="1:7">
      <c r="A11" s="68" t="s">
        <v>95</v>
      </c>
      <c r="B11" s="28">
        <f>B6+B10</f>
        <v>0</v>
      </c>
      <c r="C11" s="28">
        <f>C6+C10</f>
        <v>0</v>
      </c>
      <c r="D11" s="28">
        <f>D6+D10</f>
        <v>0</v>
      </c>
      <c r="E11" s="28">
        <f>E6+E10</f>
        <v>0</v>
      </c>
      <c r="F11" s="92">
        <f>F6+F10</f>
        <v>0</v>
      </c>
      <c r="G11" s="91" t="str">
        <f>IF(F11&gt;35903632.46,"Offerta superiore alla Base d'Asta","")</f>
        <v/>
      </c>
    </row>
    <row r="12" spans="1:7" ht="16" hidden="1" thickBot="1">
      <c r="A12" s="1" t="s">
        <v>103</v>
      </c>
      <c r="B12" s="78">
        <f>(B2+B3)/3</f>
        <v>0</v>
      </c>
    </row>
  </sheetData>
  <sheetProtection algorithmName="SHA-512" hashValue="hOeR4qMaPHl78q7n1HEdjR/p4N3gPypE01MFTCiFKqBMStbkc6C5TYcV4KcZxNCLuF7ZM8BcU+SdXwwMo+Pxcw==" saltValue="gmpCn4jXvFpCSwbIJSIsjQ==" spinCount="100000" sheet="1" objects="1" scenarios="1"/>
  <pageMargins left="0.7" right="0.7" top="0.75" bottom="0.75" header="0.3" footer="0.3"/>
  <pageSetup paperSize="9" orientation="portrait" r:id="rId1"/>
  <ignoredErrors>
    <ignoredError sqref="F6:F7 F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zoomScale="110" zoomScaleNormal="110" workbookViewId="0">
      <pane ySplit="3" topLeftCell="A4" activePane="bottomLeft" state="frozen"/>
      <selection pane="bottomLeft" activeCell="E4" sqref="E4"/>
    </sheetView>
  </sheetViews>
  <sheetFormatPr defaultColWidth="12" defaultRowHeight="14.5"/>
  <cols>
    <col min="1" max="1" width="16.453125" style="2" customWidth="1"/>
    <col min="2" max="2" width="35.54296875" style="3" customWidth="1"/>
    <col min="3" max="3" width="19.7265625" style="3" customWidth="1"/>
    <col min="4" max="4" width="14.6328125" style="2" customWidth="1"/>
    <col min="5" max="5" width="14.1796875" style="2" customWidth="1"/>
    <col min="6" max="6" width="14.1796875" style="2" hidden="1" customWidth="1"/>
    <col min="7" max="7" width="16.453125" style="2" hidden="1" customWidth="1"/>
    <col min="8" max="8" width="13.7265625" style="2" hidden="1" customWidth="1"/>
    <col min="9" max="9" width="13.90625" style="2" hidden="1" customWidth="1"/>
    <col min="10" max="10" width="18.54296875" style="2" hidden="1" customWidth="1"/>
    <col min="11" max="12" width="17.54296875" style="2" hidden="1" customWidth="1"/>
    <col min="13" max="13" width="16.453125" style="2" hidden="1" customWidth="1"/>
    <col min="14" max="14" width="19.81640625" style="2" hidden="1" customWidth="1"/>
    <col min="15" max="18" width="16.453125" style="2" hidden="1" customWidth="1"/>
    <col min="19" max="19" width="24.1796875" style="2" hidden="1" customWidth="1"/>
    <col min="20" max="22" width="21" style="2" hidden="1" customWidth="1"/>
    <col min="23" max="23" width="16.453125" style="2" hidden="1" customWidth="1"/>
    <col min="24" max="24" width="31.453125" style="2" customWidth="1"/>
    <col min="25" max="16384" width="12" style="2"/>
  </cols>
  <sheetData>
    <row r="1" spans="1:24" ht="20.149999999999999" hidden="1" customHeight="1">
      <c r="J1" s="16">
        <v>36</v>
      </c>
      <c r="K1" s="16">
        <v>32</v>
      </c>
      <c r="L1" s="16">
        <v>32</v>
      </c>
      <c r="M1" s="17"/>
      <c r="N1" s="18" t="s">
        <v>0</v>
      </c>
      <c r="O1" s="19"/>
      <c r="P1" s="19"/>
      <c r="Q1" s="20"/>
      <c r="R1" s="17"/>
      <c r="S1" s="16">
        <v>36</v>
      </c>
      <c r="T1" s="16">
        <v>36</v>
      </c>
      <c r="U1" s="16">
        <v>36</v>
      </c>
      <c r="V1" s="16">
        <v>36</v>
      </c>
      <c r="W1" s="17"/>
    </row>
    <row r="2" spans="1:24" ht="20.149999999999999" customHeight="1">
      <c r="A2" s="101" t="s">
        <v>110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</row>
    <row r="3" spans="1:24" ht="31.5">
      <c r="A3" s="23" t="s">
        <v>107</v>
      </c>
      <c r="B3" s="23" t="s">
        <v>108</v>
      </c>
      <c r="C3" s="23" t="s">
        <v>109</v>
      </c>
      <c r="D3" s="23" t="s">
        <v>127</v>
      </c>
      <c r="E3" s="23" t="s">
        <v>106</v>
      </c>
      <c r="F3" s="24" t="s">
        <v>100</v>
      </c>
      <c r="G3" s="23" t="s">
        <v>1</v>
      </c>
      <c r="H3" s="23" t="s">
        <v>2</v>
      </c>
      <c r="I3" s="23" t="s">
        <v>3</v>
      </c>
      <c r="J3" s="25" t="s">
        <v>9</v>
      </c>
      <c r="K3" s="25" t="s">
        <v>2</v>
      </c>
      <c r="L3" s="25" t="s">
        <v>3</v>
      </c>
      <c r="M3" s="23" t="s">
        <v>10</v>
      </c>
      <c r="N3" s="23" t="s">
        <v>4</v>
      </c>
      <c r="O3" s="23" t="s">
        <v>5</v>
      </c>
      <c r="P3" s="23" t="s">
        <v>6</v>
      </c>
      <c r="Q3" s="23" t="s">
        <v>7</v>
      </c>
      <c r="R3" s="23" t="s">
        <v>8</v>
      </c>
      <c r="S3" s="23" t="s">
        <v>4</v>
      </c>
      <c r="T3" s="25" t="s">
        <v>5</v>
      </c>
      <c r="U3" s="25" t="s">
        <v>6</v>
      </c>
      <c r="V3" s="25" t="s">
        <v>7</v>
      </c>
      <c r="W3" s="23" t="s">
        <v>11</v>
      </c>
      <c r="X3" s="23" t="s">
        <v>123</v>
      </c>
    </row>
    <row r="4" spans="1:24" ht="21">
      <c r="A4" s="26" t="s">
        <v>12</v>
      </c>
      <c r="B4" s="27" t="s">
        <v>13</v>
      </c>
      <c r="C4" s="27" t="s">
        <v>14</v>
      </c>
      <c r="D4" s="28">
        <v>55.58</v>
      </c>
      <c r="E4" s="29"/>
      <c r="F4" s="30">
        <f>1-E4/D4</f>
        <v>1</v>
      </c>
      <c r="G4" s="31">
        <f>350+7</f>
        <v>357</v>
      </c>
      <c r="H4" s="31"/>
      <c r="I4" s="31"/>
      <c r="J4" s="32">
        <f t="shared" ref="J4:J29" si="0">G4*$E4*J$1</f>
        <v>0</v>
      </c>
      <c r="K4" s="32">
        <f t="shared" ref="K4:K29" si="1">H4*$E4*K$1</f>
        <v>0</v>
      </c>
      <c r="L4" s="32">
        <f t="shared" ref="L4:L29" si="2">I4*$E4*L$1</f>
        <v>0</v>
      </c>
      <c r="M4" s="33">
        <f>SUM(J4:L4)</f>
        <v>0</v>
      </c>
      <c r="N4" s="31">
        <v>205</v>
      </c>
      <c r="O4" s="31">
        <f>100-7+7</f>
        <v>100</v>
      </c>
      <c r="P4" s="31"/>
      <c r="Q4" s="31"/>
      <c r="R4" s="31">
        <f>SUM(N4:Q4)</f>
        <v>305</v>
      </c>
      <c r="S4" s="32">
        <f>N4*$E4*S$1</f>
        <v>0</v>
      </c>
      <c r="T4" s="32">
        <f t="shared" ref="T4:V4" si="3">O4*$E4*T$1</f>
        <v>0</v>
      </c>
      <c r="U4" s="32">
        <f t="shared" si="3"/>
        <v>0</v>
      </c>
      <c r="V4" s="32">
        <f t="shared" si="3"/>
        <v>0</v>
      </c>
      <c r="W4" s="86">
        <f>SUM(S4:V4)</f>
        <v>0</v>
      </c>
      <c r="X4" s="21" t="str">
        <f>IF(E4&lt;0,"prezzo offerto minore di 0",IF(E4="","inserire prezzo offerto",IF(E4=0,"inserire prezzo offerto","")))</f>
        <v>inserire prezzo offerto</v>
      </c>
    </row>
    <row r="5" spans="1:24">
      <c r="A5" s="26" t="s">
        <v>15</v>
      </c>
      <c r="B5" s="34" t="s">
        <v>16</v>
      </c>
      <c r="C5" s="34" t="s">
        <v>14</v>
      </c>
      <c r="D5" s="35">
        <v>37.1</v>
      </c>
      <c r="E5" s="29"/>
      <c r="F5" s="30">
        <f t="shared" ref="F5:F32" si="4">1-E5/D5</f>
        <v>1</v>
      </c>
      <c r="G5" s="36">
        <f>500+266</f>
        <v>766</v>
      </c>
      <c r="H5" s="36">
        <v>320</v>
      </c>
      <c r="I5" s="36">
        <v>220</v>
      </c>
      <c r="J5" s="32">
        <f t="shared" si="0"/>
        <v>0</v>
      </c>
      <c r="K5" s="32">
        <f t="shared" si="1"/>
        <v>0</v>
      </c>
      <c r="L5" s="32">
        <f t="shared" si="2"/>
        <v>0</v>
      </c>
      <c r="M5" s="33">
        <f t="shared" ref="M5:M31" si="5">SUM(J5:L5)</f>
        <v>0</v>
      </c>
      <c r="N5" s="36"/>
      <c r="O5" s="31">
        <f>500-266+16</f>
        <v>250</v>
      </c>
      <c r="P5" s="36">
        <v>100</v>
      </c>
      <c r="Q5" s="36">
        <v>220</v>
      </c>
      <c r="R5" s="31">
        <f t="shared" ref="R5:R32" si="6">SUM(N5:Q5)</f>
        <v>570</v>
      </c>
      <c r="S5" s="32">
        <f t="shared" ref="S5:S29" si="7">N5*$E5*S$1</f>
        <v>0</v>
      </c>
      <c r="T5" s="32">
        <f t="shared" ref="T5:T29" si="8">O5*$E5*T$1</f>
        <v>0</v>
      </c>
      <c r="U5" s="32">
        <f t="shared" ref="U5:U29" si="9">P5*$E5*U$1</f>
        <v>0</v>
      </c>
      <c r="V5" s="32">
        <f t="shared" ref="V5:V29" si="10">Q5*$E5*V$1</f>
        <v>0</v>
      </c>
      <c r="W5" s="86">
        <f t="shared" ref="W5:W37" si="11">SUM(S5:V5)</f>
        <v>0</v>
      </c>
      <c r="X5" s="21" t="str">
        <f t="shared" ref="X5:X29" si="12">IF(E5&lt;0,"prezzo offerto minore di 0",IF(E5="","inserire prezzo offerto",IF(E5=0,"inserire prezzo offerto","")))</f>
        <v>inserire prezzo offerto</v>
      </c>
    </row>
    <row r="6" spans="1:24">
      <c r="A6" s="26" t="s">
        <v>17</v>
      </c>
      <c r="B6" s="34" t="s">
        <v>18</v>
      </c>
      <c r="C6" s="34" t="s">
        <v>19</v>
      </c>
      <c r="D6" s="35">
        <v>9.4</v>
      </c>
      <c r="E6" s="29"/>
      <c r="F6" s="30">
        <f t="shared" si="4"/>
        <v>1</v>
      </c>
      <c r="G6" s="36">
        <f>210-11</f>
        <v>199</v>
      </c>
      <c r="H6" s="36"/>
      <c r="I6" s="36">
        <v>120</v>
      </c>
      <c r="J6" s="32">
        <f t="shared" si="0"/>
        <v>0</v>
      </c>
      <c r="K6" s="32">
        <f t="shared" si="1"/>
        <v>0</v>
      </c>
      <c r="L6" s="32">
        <f t="shared" si="2"/>
        <v>0</v>
      </c>
      <c r="M6" s="33">
        <f t="shared" si="5"/>
        <v>0</v>
      </c>
      <c r="N6" s="36">
        <v>80</v>
      </c>
      <c r="O6" s="36">
        <f>100-11+1</f>
        <v>90</v>
      </c>
      <c r="P6" s="36"/>
      <c r="Q6" s="36">
        <v>120</v>
      </c>
      <c r="R6" s="31">
        <f t="shared" si="6"/>
        <v>290</v>
      </c>
      <c r="S6" s="32">
        <f t="shared" si="7"/>
        <v>0</v>
      </c>
      <c r="T6" s="32">
        <f t="shared" si="8"/>
        <v>0</v>
      </c>
      <c r="U6" s="32">
        <f t="shared" si="9"/>
        <v>0</v>
      </c>
      <c r="V6" s="32">
        <f t="shared" si="10"/>
        <v>0</v>
      </c>
      <c r="W6" s="86">
        <f t="shared" si="11"/>
        <v>0</v>
      </c>
      <c r="X6" s="21" t="str">
        <f t="shared" si="12"/>
        <v>inserire prezzo offerto</v>
      </c>
    </row>
    <row r="7" spans="1:24" ht="21">
      <c r="A7" s="26" t="s">
        <v>20</v>
      </c>
      <c r="B7" s="34" t="s">
        <v>21</v>
      </c>
      <c r="C7" s="34" t="s">
        <v>22</v>
      </c>
      <c r="D7" s="35">
        <v>1.24</v>
      </c>
      <c r="E7" s="29"/>
      <c r="F7" s="30">
        <f t="shared" si="4"/>
        <v>1</v>
      </c>
      <c r="G7" s="36">
        <f>50000-7000</f>
        <v>43000</v>
      </c>
      <c r="H7" s="36"/>
      <c r="I7" s="36">
        <v>900</v>
      </c>
      <c r="J7" s="32">
        <f t="shared" si="0"/>
        <v>0</v>
      </c>
      <c r="K7" s="32">
        <f t="shared" si="1"/>
        <v>0</v>
      </c>
      <c r="L7" s="32">
        <f t="shared" si="2"/>
        <v>0</v>
      </c>
      <c r="M7" s="33">
        <f t="shared" si="5"/>
        <v>0</v>
      </c>
      <c r="N7" s="36">
        <v>3000</v>
      </c>
      <c r="O7" s="36">
        <f>20000-7000</f>
        <v>13000</v>
      </c>
      <c r="P7" s="36"/>
      <c r="Q7" s="36">
        <v>900</v>
      </c>
      <c r="R7" s="31">
        <f t="shared" si="6"/>
        <v>16900</v>
      </c>
      <c r="S7" s="32">
        <f t="shared" si="7"/>
        <v>0</v>
      </c>
      <c r="T7" s="32">
        <f t="shared" si="8"/>
        <v>0</v>
      </c>
      <c r="U7" s="32">
        <f t="shared" si="9"/>
        <v>0</v>
      </c>
      <c r="V7" s="32">
        <f t="shared" si="10"/>
        <v>0</v>
      </c>
      <c r="W7" s="86">
        <f t="shared" si="11"/>
        <v>0</v>
      </c>
      <c r="X7" s="21" t="str">
        <f t="shared" si="12"/>
        <v>inserire prezzo offerto</v>
      </c>
    </row>
    <row r="8" spans="1:24" ht="21">
      <c r="A8" s="26" t="s">
        <v>23</v>
      </c>
      <c r="B8" s="34" t="s">
        <v>24</v>
      </c>
      <c r="C8" s="34" t="s">
        <v>22</v>
      </c>
      <c r="D8" s="35">
        <v>2.16</v>
      </c>
      <c r="E8" s="29"/>
      <c r="F8" s="30">
        <f t="shared" si="4"/>
        <v>1</v>
      </c>
      <c r="G8" s="36"/>
      <c r="H8" s="36"/>
      <c r="I8" s="36"/>
      <c r="J8" s="32">
        <f t="shared" si="0"/>
        <v>0</v>
      </c>
      <c r="K8" s="32">
        <f t="shared" si="1"/>
        <v>0</v>
      </c>
      <c r="L8" s="32">
        <f t="shared" si="2"/>
        <v>0</v>
      </c>
      <c r="M8" s="33">
        <f t="shared" si="5"/>
        <v>0</v>
      </c>
      <c r="N8" s="36"/>
      <c r="O8" s="36">
        <v>200</v>
      </c>
      <c r="P8" s="36"/>
      <c r="Q8" s="36"/>
      <c r="R8" s="31">
        <f t="shared" si="6"/>
        <v>200</v>
      </c>
      <c r="S8" s="32">
        <f t="shared" si="7"/>
        <v>0</v>
      </c>
      <c r="T8" s="32">
        <f t="shared" si="8"/>
        <v>0</v>
      </c>
      <c r="U8" s="32">
        <f t="shared" si="9"/>
        <v>0</v>
      </c>
      <c r="V8" s="32">
        <f t="shared" si="10"/>
        <v>0</v>
      </c>
      <c r="W8" s="86">
        <f t="shared" si="11"/>
        <v>0</v>
      </c>
      <c r="X8" s="21" t="str">
        <f t="shared" si="12"/>
        <v>inserire prezzo offerto</v>
      </c>
    </row>
    <row r="9" spans="1:24" ht="21">
      <c r="A9" s="26" t="s">
        <v>112</v>
      </c>
      <c r="B9" s="34" t="s">
        <v>25</v>
      </c>
      <c r="C9" s="34" t="s">
        <v>22</v>
      </c>
      <c r="D9" s="35">
        <v>1.07</v>
      </c>
      <c r="E9" s="29"/>
      <c r="F9" s="30">
        <f t="shared" si="4"/>
        <v>1</v>
      </c>
      <c r="G9" s="36">
        <v>31000</v>
      </c>
      <c r="H9" s="36"/>
      <c r="I9" s="36"/>
      <c r="J9" s="32">
        <f t="shared" si="0"/>
        <v>0</v>
      </c>
      <c r="K9" s="32">
        <f t="shared" si="1"/>
        <v>0</v>
      </c>
      <c r="L9" s="32">
        <f t="shared" si="2"/>
        <v>0</v>
      </c>
      <c r="M9" s="33">
        <f t="shared" si="5"/>
        <v>0</v>
      </c>
      <c r="N9" s="36">
        <v>3000</v>
      </c>
      <c r="O9" s="36">
        <v>15000</v>
      </c>
      <c r="P9" s="36"/>
      <c r="Q9" s="36"/>
      <c r="R9" s="31">
        <f t="shared" si="6"/>
        <v>18000</v>
      </c>
      <c r="S9" s="32">
        <f t="shared" si="7"/>
        <v>0</v>
      </c>
      <c r="T9" s="32">
        <f t="shared" si="8"/>
        <v>0</v>
      </c>
      <c r="U9" s="32">
        <f t="shared" si="9"/>
        <v>0</v>
      </c>
      <c r="V9" s="32">
        <f t="shared" si="10"/>
        <v>0</v>
      </c>
      <c r="W9" s="86">
        <f t="shared" si="11"/>
        <v>0</v>
      </c>
      <c r="X9" s="21" t="str">
        <f t="shared" si="12"/>
        <v>inserire prezzo offerto</v>
      </c>
    </row>
    <row r="10" spans="1:24" ht="21">
      <c r="A10" s="26" t="s">
        <v>26</v>
      </c>
      <c r="B10" s="34" t="s">
        <v>27</v>
      </c>
      <c r="C10" s="34" t="s">
        <v>28</v>
      </c>
      <c r="D10" s="35">
        <v>23.27</v>
      </c>
      <c r="E10" s="29"/>
      <c r="F10" s="30">
        <f t="shared" si="4"/>
        <v>1</v>
      </c>
      <c r="G10" s="36">
        <f>150+1174</f>
        <v>1324</v>
      </c>
      <c r="H10" s="36"/>
      <c r="I10" s="36"/>
      <c r="J10" s="32">
        <f t="shared" si="0"/>
        <v>0</v>
      </c>
      <c r="K10" s="32">
        <f t="shared" si="1"/>
        <v>0</v>
      </c>
      <c r="L10" s="32">
        <f t="shared" si="2"/>
        <v>0</v>
      </c>
      <c r="M10" s="33">
        <f t="shared" si="5"/>
        <v>0</v>
      </c>
      <c r="N10" s="36"/>
      <c r="O10" s="36">
        <v>50</v>
      </c>
      <c r="P10" s="36"/>
      <c r="Q10" s="36"/>
      <c r="R10" s="31">
        <f t="shared" si="6"/>
        <v>50</v>
      </c>
      <c r="S10" s="32">
        <f t="shared" si="7"/>
        <v>0</v>
      </c>
      <c r="T10" s="32">
        <f t="shared" si="8"/>
        <v>0</v>
      </c>
      <c r="U10" s="32">
        <f t="shared" si="9"/>
        <v>0</v>
      </c>
      <c r="V10" s="32">
        <f t="shared" si="10"/>
        <v>0</v>
      </c>
      <c r="W10" s="86">
        <f t="shared" si="11"/>
        <v>0</v>
      </c>
      <c r="X10" s="21" t="str">
        <f t="shared" si="12"/>
        <v>inserire prezzo offerto</v>
      </c>
    </row>
    <row r="11" spans="1:24">
      <c r="A11" s="26" t="s">
        <v>29</v>
      </c>
      <c r="B11" s="34" t="s">
        <v>30</v>
      </c>
      <c r="C11" s="34" t="s">
        <v>22</v>
      </c>
      <c r="D11" s="35">
        <v>3.72</v>
      </c>
      <c r="E11" s="29"/>
      <c r="F11" s="30">
        <f t="shared" si="4"/>
        <v>1</v>
      </c>
      <c r="G11" s="36">
        <v>14000</v>
      </c>
      <c r="H11" s="36"/>
      <c r="I11" s="36">
        <v>900</v>
      </c>
      <c r="J11" s="32">
        <f t="shared" si="0"/>
        <v>0</v>
      </c>
      <c r="K11" s="32">
        <f t="shared" si="1"/>
        <v>0</v>
      </c>
      <c r="L11" s="32">
        <f t="shared" si="2"/>
        <v>0</v>
      </c>
      <c r="M11" s="33">
        <f t="shared" si="5"/>
        <v>0</v>
      </c>
      <c r="N11" s="36">
        <v>1000</v>
      </c>
      <c r="O11" s="37">
        <v>4000</v>
      </c>
      <c r="P11" s="36"/>
      <c r="Q11" s="36">
        <v>900</v>
      </c>
      <c r="R11" s="31">
        <f t="shared" si="6"/>
        <v>5900</v>
      </c>
      <c r="S11" s="32">
        <f t="shared" si="7"/>
        <v>0</v>
      </c>
      <c r="T11" s="32">
        <f t="shared" si="8"/>
        <v>0</v>
      </c>
      <c r="U11" s="32">
        <f t="shared" si="9"/>
        <v>0</v>
      </c>
      <c r="V11" s="32">
        <f t="shared" si="10"/>
        <v>0</v>
      </c>
      <c r="W11" s="86">
        <f t="shared" si="11"/>
        <v>0</v>
      </c>
      <c r="X11" s="21" t="str">
        <f t="shared" si="12"/>
        <v>inserire prezzo offerto</v>
      </c>
    </row>
    <row r="12" spans="1:24">
      <c r="A12" s="26" t="s">
        <v>31</v>
      </c>
      <c r="B12" s="34" t="s">
        <v>32</v>
      </c>
      <c r="C12" s="34" t="s">
        <v>33</v>
      </c>
      <c r="D12" s="35">
        <v>1.65</v>
      </c>
      <c r="E12" s="29"/>
      <c r="F12" s="30">
        <f t="shared" si="4"/>
        <v>1</v>
      </c>
      <c r="G12" s="36">
        <v>4000</v>
      </c>
      <c r="H12" s="36"/>
      <c r="I12" s="36"/>
      <c r="J12" s="32">
        <f t="shared" si="0"/>
        <v>0</v>
      </c>
      <c r="K12" s="32">
        <f t="shared" si="1"/>
        <v>0</v>
      </c>
      <c r="L12" s="32">
        <f t="shared" si="2"/>
        <v>0</v>
      </c>
      <c r="M12" s="33">
        <f t="shared" si="5"/>
        <v>0</v>
      </c>
      <c r="N12" s="36"/>
      <c r="O12" s="37">
        <v>1000</v>
      </c>
      <c r="P12" s="36"/>
      <c r="Q12" s="36"/>
      <c r="R12" s="31">
        <f t="shared" si="6"/>
        <v>1000</v>
      </c>
      <c r="S12" s="32">
        <f t="shared" si="7"/>
        <v>0</v>
      </c>
      <c r="T12" s="32">
        <f t="shared" si="8"/>
        <v>0</v>
      </c>
      <c r="U12" s="32">
        <f t="shared" si="9"/>
        <v>0</v>
      </c>
      <c r="V12" s="32">
        <f t="shared" si="10"/>
        <v>0</v>
      </c>
      <c r="W12" s="86">
        <f t="shared" si="11"/>
        <v>0</v>
      </c>
      <c r="X12" s="21" t="str">
        <f t="shared" si="12"/>
        <v>inserire prezzo offerto</v>
      </c>
    </row>
    <row r="13" spans="1:24">
      <c r="A13" s="26" t="s">
        <v>34</v>
      </c>
      <c r="B13" s="34" t="s">
        <v>35</v>
      </c>
      <c r="C13" s="34" t="s">
        <v>22</v>
      </c>
      <c r="D13" s="35">
        <v>10.26</v>
      </c>
      <c r="E13" s="29"/>
      <c r="F13" s="30">
        <f t="shared" si="4"/>
        <v>1</v>
      </c>
      <c r="G13" s="36"/>
      <c r="H13" s="36"/>
      <c r="I13" s="36"/>
      <c r="J13" s="32">
        <f t="shared" si="0"/>
        <v>0</v>
      </c>
      <c r="K13" s="32">
        <f t="shared" si="1"/>
        <v>0</v>
      </c>
      <c r="L13" s="32">
        <f t="shared" si="2"/>
        <v>0</v>
      </c>
      <c r="M13" s="32">
        <f t="shared" si="5"/>
        <v>0</v>
      </c>
      <c r="N13" s="36"/>
      <c r="O13" s="37">
        <v>500</v>
      </c>
      <c r="P13" s="36"/>
      <c r="Q13" s="36"/>
      <c r="R13" s="31">
        <f t="shared" si="6"/>
        <v>500</v>
      </c>
      <c r="S13" s="32">
        <f t="shared" si="7"/>
        <v>0</v>
      </c>
      <c r="T13" s="32">
        <f t="shared" si="8"/>
        <v>0</v>
      </c>
      <c r="U13" s="32">
        <f t="shared" si="9"/>
        <v>0</v>
      </c>
      <c r="V13" s="32">
        <f t="shared" si="10"/>
        <v>0</v>
      </c>
      <c r="W13" s="86">
        <f t="shared" si="11"/>
        <v>0</v>
      </c>
      <c r="X13" s="21" t="str">
        <f t="shared" si="12"/>
        <v>inserire prezzo offerto</v>
      </c>
    </row>
    <row r="14" spans="1:24">
      <c r="A14" s="26" t="s">
        <v>36</v>
      </c>
      <c r="B14" s="34" t="s">
        <v>37</v>
      </c>
      <c r="C14" s="34" t="s">
        <v>38</v>
      </c>
      <c r="D14" s="35">
        <v>0.45</v>
      </c>
      <c r="E14" s="29"/>
      <c r="F14" s="30">
        <f t="shared" si="4"/>
        <v>1</v>
      </c>
      <c r="G14" s="36">
        <v>100000</v>
      </c>
      <c r="H14" s="36"/>
      <c r="I14" s="36"/>
      <c r="J14" s="32">
        <f t="shared" si="0"/>
        <v>0</v>
      </c>
      <c r="K14" s="32">
        <f t="shared" si="1"/>
        <v>0</v>
      </c>
      <c r="L14" s="32">
        <f t="shared" si="2"/>
        <v>0</v>
      </c>
      <c r="M14" s="32">
        <f t="shared" si="5"/>
        <v>0</v>
      </c>
      <c r="N14" s="38"/>
      <c r="O14" s="38">
        <f>500+6000</f>
        <v>6500</v>
      </c>
      <c r="P14" s="36"/>
      <c r="Q14" s="36">
        <v>1300</v>
      </c>
      <c r="R14" s="31">
        <f t="shared" si="6"/>
        <v>7800</v>
      </c>
      <c r="S14" s="32">
        <f t="shared" si="7"/>
        <v>0</v>
      </c>
      <c r="T14" s="32">
        <f t="shared" si="8"/>
        <v>0</v>
      </c>
      <c r="U14" s="32">
        <f t="shared" si="9"/>
        <v>0</v>
      </c>
      <c r="V14" s="32">
        <f t="shared" si="10"/>
        <v>0</v>
      </c>
      <c r="W14" s="86">
        <f t="shared" si="11"/>
        <v>0</v>
      </c>
      <c r="X14" s="21" t="str">
        <f t="shared" si="12"/>
        <v>inserire prezzo offerto</v>
      </c>
    </row>
    <row r="15" spans="1:24">
      <c r="A15" s="26" t="s">
        <v>113</v>
      </c>
      <c r="B15" s="34" t="s">
        <v>114</v>
      </c>
      <c r="C15" s="34" t="s">
        <v>22</v>
      </c>
      <c r="D15" s="35">
        <v>0.55000000000000004</v>
      </c>
      <c r="E15" s="29"/>
      <c r="F15" s="30">
        <f t="shared" si="4"/>
        <v>1</v>
      </c>
      <c r="G15" s="36">
        <v>20000</v>
      </c>
      <c r="H15" s="36"/>
      <c r="I15" s="36"/>
      <c r="J15" s="32">
        <f t="shared" si="0"/>
        <v>0</v>
      </c>
      <c r="K15" s="32">
        <f t="shared" si="1"/>
        <v>0</v>
      </c>
      <c r="L15" s="32">
        <f t="shared" si="2"/>
        <v>0</v>
      </c>
      <c r="M15" s="32">
        <f t="shared" si="5"/>
        <v>0</v>
      </c>
      <c r="N15" s="38">
        <v>1000</v>
      </c>
      <c r="O15" s="38">
        <v>4000</v>
      </c>
      <c r="P15" s="36"/>
      <c r="Q15" s="36">
        <v>1000</v>
      </c>
      <c r="R15" s="31">
        <f t="shared" si="6"/>
        <v>6000</v>
      </c>
      <c r="S15" s="32">
        <f t="shared" si="7"/>
        <v>0</v>
      </c>
      <c r="T15" s="32">
        <f t="shared" si="8"/>
        <v>0</v>
      </c>
      <c r="U15" s="32">
        <f t="shared" si="9"/>
        <v>0</v>
      </c>
      <c r="V15" s="32">
        <f t="shared" si="10"/>
        <v>0</v>
      </c>
      <c r="W15" s="86">
        <f t="shared" si="11"/>
        <v>0</v>
      </c>
      <c r="X15" s="21" t="str">
        <f t="shared" si="12"/>
        <v>inserire prezzo offerto</v>
      </c>
    </row>
    <row r="16" spans="1:24" ht="21">
      <c r="A16" s="26" t="s">
        <v>39</v>
      </c>
      <c r="B16" s="34" t="s">
        <v>40</v>
      </c>
      <c r="C16" s="34" t="s">
        <v>38</v>
      </c>
      <c r="D16" s="35">
        <v>0.24</v>
      </c>
      <c r="E16" s="29"/>
      <c r="F16" s="30">
        <f t="shared" si="4"/>
        <v>1</v>
      </c>
      <c r="G16" s="36">
        <v>100000</v>
      </c>
      <c r="H16" s="36"/>
      <c r="I16" s="36"/>
      <c r="J16" s="32">
        <f t="shared" si="0"/>
        <v>0</v>
      </c>
      <c r="K16" s="32">
        <f t="shared" si="1"/>
        <v>0</v>
      </c>
      <c r="L16" s="32">
        <f t="shared" si="2"/>
        <v>0</v>
      </c>
      <c r="M16" s="32">
        <f t="shared" si="5"/>
        <v>0</v>
      </c>
      <c r="N16" s="38"/>
      <c r="O16" s="38">
        <f>500+295</f>
        <v>795</v>
      </c>
      <c r="P16" s="36"/>
      <c r="Q16" s="36"/>
      <c r="R16" s="31">
        <f t="shared" si="6"/>
        <v>795</v>
      </c>
      <c r="S16" s="32">
        <f t="shared" si="7"/>
        <v>0</v>
      </c>
      <c r="T16" s="32">
        <f t="shared" si="8"/>
        <v>0</v>
      </c>
      <c r="U16" s="32">
        <f t="shared" si="9"/>
        <v>0</v>
      </c>
      <c r="V16" s="32">
        <f t="shared" si="10"/>
        <v>0</v>
      </c>
      <c r="W16" s="86">
        <f t="shared" si="11"/>
        <v>0</v>
      </c>
      <c r="X16" s="21" t="str">
        <f t="shared" si="12"/>
        <v>inserire prezzo offerto</v>
      </c>
    </row>
    <row r="17" spans="1:24" ht="21">
      <c r="A17" s="26" t="s">
        <v>41</v>
      </c>
      <c r="B17" s="34" t="s">
        <v>42</v>
      </c>
      <c r="C17" s="34" t="s">
        <v>43</v>
      </c>
      <c r="D17" s="35">
        <v>8</v>
      </c>
      <c r="E17" s="29"/>
      <c r="F17" s="30">
        <f t="shared" si="4"/>
        <v>1</v>
      </c>
      <c r="G17" s="36">
        <f>4100+300</f>
        <v>4400</v>
      </c>
      <c r="H17" s="36"/>
      <c r="I17" s="36"/>
      <c r="J17" s="32">
        <f t="shared" si="0"/>
        <v>0</v>
      </c>
      <c r="K17" s="32">
        <f t="shared" si="1"/>
        <v>0</v>
      </c>
      <c r="L17" s="32">
        <f t="shared" si="2"/>
        <v>0</v>
      </c>
      <c r="M17" s="32">
        <f t="shared" si="5"/>
        <v>0</v>
      </c>
      <c r="N17" s="36">
        <v>400</v>
      </c>
      <c r="O17" s="36">
        <f>800-300</f>
        <v>500</v>
      </c>
      <c r="P17" s="36"/>
      <c r="Q17" s="36"/>
      <c r="R17" s="31">
        <f t="shared" si="6"/>
        <v>900</v>
      </c>
      <c r="S17" s="32">
        <f t="shared" si="7"/>
        <v>0</v>
      </c>
      <c r="T17" s="32">
        <f t="shared" si="8"/>
        <v>0</v>
      </c>
      <c r="U17" s="32">
        <f t="shared" si="9"/>
        <v>0</v>
      </c>
      <c r="V17" s="32">
        <f t="shared" si="10"/>
        <v>0</v>
      </c>
      <c r="W17" s="86">
        <f t="shared" si="11"/>
        <v>0</v>
      </c>
      <c r="X17" s="21" t="str">
        <f t="shared" si="12"/>
        <v>inserire prezzo offerto</v>
      </c>
    </row>
    <row r="18" spans="1:24">
      <c r="A18" s="26" t="s">
        <v>44</v>
      </c>
      <c r="B18" s="34" t="s">
        <v>45</v>
      </c>
      <c r="C18" s="34" t="s">
        <v>46</v>
      </c>
      <c r="D18" s="35">
        <v>20.25</v>
      </c>
      <c r="E18" s="29"/>
      <c r="F18" s="30">
        <f t="shared" si="4"/>
        <v>1</v>
      </c>
      <c r="G18" s="36"/>
      <c r="H18" s="36">
        <v>100</v>
      </c>
      <c r="I18" s="36"/>
      <c r="J18" s="32">
        <f t="shared" si="0"/>
        <v>0</v>
      </c>
      <c r="K18" s="32">
        <f t="shared" si="1"/>
        <v>0</v>
      </c>
      <c r="L18" s="32">
        <f t="shared" si="2"/>
        <v>0</v>
      </c>
      <c r="M18" s="32">
        <f t="shared" si="5"/>
        <v>0</v>
      </c>
      <c r="N18" s="36"/>
      <c r="O18" s="38">
        <v>60</v>
      </c>
      <c r="P18" s="38"/>
      <c r="Q18" s="36"/>
      <c r="R18" s="31">
        <f t="shared" si="6"/>
        <v>60</v>
      </c>
      <c r="S18" s="32">
        <f t="shared" si="7"/>
        <v>0</v>
      </c>
      <c r="T18" s="32">
        <f t="shared" si="8"/>
        <v>0</v>
      </c>
      <c r="U18" s="32">
        <f t="shared" si="9"/>
        <v>0</v>
      </c>
      <c r="V18" s="32">
        <f t="shared" si="10"/>
        <v>0</v>
      </c>
      <c r="W18" s="86">
        <f t="shared" si="11"/>
        <v>0</v>
      </c>
      <c r="X18" s="21" t="str">
        <f t="shared" si="12"/>
        <v>inserire prezzo offerto</v>
      </c>
    </row>
    <row r="19" spans="1:24">
      <c r="A19" s="26" t="s">
        <v>47</v>
      </c>
      <c r="B19" s="34" t="s">
        <v>48</v>
      </c>
      <c r="C19" s="34" t="s">
        <v>46</v>
      </c>
      <c r="D19" s="35">
        <v>36</v>
      </c>
      <c r="E19" s="29"/>
      <c r="F19" s="30">
        <f t="shared" si="4"/>
        <v>1</v>
      </c>
      <c r="G19" s="36">
        <v>150</v>
      </c>
      <c r="H19" s="36"/>
      <c r="I19" s="36">
        <v>70</v>
      </c>
      <c r="J19" s="32">
        <f t="shared" si="0"/>
        <v>0</v>
      </c>
      <c r="K19" s="32">
        <f t="shared" si="1"/>
        <v>0</v>
      </c>
      <c r="L19" s="32">
        <f t="shared" si="2"/>
        <v>0</v>
      </c>
      <c r="M19" s="32">
        <f t="shared" si="5"/>
        <v>0</v>
      </c>
      <c r="N19" s="36">
        <v>150</v>
      </c>
      <c r="O19" s="36">
        <v>50</v>
      </c>
      <c r="P19" s="36"/>
      <c r="Q19" s="36">
        <v>70</v>
      </c>
      <c r="R19" s="31">
        <f t="shared" si="6"/>
        <v>270</v>
      </c>
      <c r="S19" s="32">
        <f t="shared" si="7"/>
        <v>0</v>
      </c>
      <c r="T19" s="32">
        <f t="shared" si="8"/>
        <v>0</v>
      </c>
      <c r="U19" s="32">
        <f t="shared" si="9"/>
        <v>0</v>
      </c>
      <c r="V19" s="32">
        <f t="shared" si="10"/>
        <v>0</v>
      </c>
      <c r="W19" s="86">
        <f t="shared" si="11"/>
        <v>0</v>
      </c>
      <c r="X19" s="21" t="str">
        <f t="shared" si="12"/>
        <v>inserire prezzo offerto</v>
      </c>
    </row>
    <row r="20" spans="1:24">
      <c r="A20" s="26" t="s">
        <v>49</v>
      </c>
      <c r="B20" s="34" t="s">
        <v>50</v>
      </c>
      <c r="C20" s="34" t="s">
        <v>51</v>
      </c>
      <c r="D20" s="35">
        <v>40</v>
      </c>
      <c r="E20" s="29"/>
      <c r="F20" s="30">
        <f t="shared" si="4"/>
        <v>1</v>
      </c>
      <c r="G20" s="36">
        <v>1022</v>
      </c>
      <c r="H20" s="36"/>
      <c r="I20" s="36"/>
      <c r="J20" s="32">
        <f t="shared" si="0"/>
        <v>0</v>
      </c>
      <c r="K20" s="32">
        <f t="shared" si="1"/>
        <v>0</v>
      </c>
      <c r="L20" s="32">
        <f t="shared" si="2"/>
        <v>0</v>
      </c>
      <c r="M20" s="33">
        <f t="shared" si="5"/>
        <v>0</v>
      </c>
      <c r="N20" s="36"/>
      <c r="O20" s="36">
        <v>20</v>
      </c>
      <c r="P20" s="36"/>
      <c r="Q20" s="36"/>
      <c r="R20" s="31">
        <f t="shared" si="6"/>
        <v>20</v>
      </c>
      <c r="S20" s="32">
        <f t="shared" si="7"/>
        <v>0</v>
      </c>
      <c r="T20" s="32">
        <f t="shared" si="8"/>
        <v>0</v>
      </c>
      <c r="U20" s="32">
        <f t="shared" si="9"/>
        <v>0</v>
      </c>
      <c r="V20" s="32">
        <f t="shared" si="10"/>
        <v>0</v>
      </c>
      <c r="W20" s="86">
        <f t="shared" si="11"/>
        <v>0</v>
      </c>
      <c r="X20" s="21" t="str">
        <f t="shared" si="12"/>
        <v>inserire prezzo offerto</v>
      </c>
    </row>
    <row r="21" spans="1:24">
      <c r="A21" s="26" t="s">
        <v>52</v>
      </c>
      <c r="B21" s="34" t="s">
        <v>53</v>
      </c>
      <c r="C21" s="34" t="s">
        <v>54</v>
      </c>
      <c r="D21" s="35">
        <v>19</v>
      </c>
      <c r="E21" s="29"/>
      <c r="F21" s="30">
        <f t="shared" si="4"/>
        <v>1</v>
      </c>
      <c r="G21" s="36">
        <f>100-80</f>
        <v>20</v>
      </c>
      <c r="H21" s="36"/>
      <c r="I21" s="36"/>
      <c r="J21" s="32">
        <f t="shared" si="0"/>
        <v>0</v>
      </c>
      <c r="K21" s="32">
        <f t="shared" si="1"/>
        <v>0</v>
      </c>
      <c r="L21" s="32">
        <f t="shared" si="2"/>
        <v>0</v>
      </c>
      <c r="M21" s="33">
        <f t="shared" si="5"/>
        <v>0</v>
      </c>
      <c r="N21" s="36"/>
      <c r="O21" s="36">
        <f>50+80</f>
        <v>130</v>
      </c>
      <c r="P21" s="36"/>
      <c r="Q21" s="36"/>
      <c r="R21" s="31">
        <f t="shared" si="6"/>
        <v>130</v>
      </c>
      <c r="S21" s="32">
        <f t="shared" si="7"/>
        <v>0</v>
      </c>
      <c r="T21" s="32">
        <f t="shared" si="8"/>
        <v>0</v>
      </c>
      <c r="U21" s="32">
        <f t="shared" si="9"/>
        <v>0</v>
      </c>
      <c r="V21" s="32">
        <f t="shared" si="10"/>
        <v>0</v>
      </c>
      <c r="W21" s="86">
        <f t="shared" si="11"/>
        <v>0</v>
      </c>
      <c r="X21" s="21" t="str">
        <f t="shared" si="12"/>
        <v>inserire prezzo offerto</v>
      </c>
    </row>
    <row r="22" spans="1:24">
      <c r="A22" s="26" t="s">
        <v>55</v>
      </c>
      <c r="B22" s="34" t="s">
        <v>56</v>
      </c>
      <c r="C22" s="34" t="s">
        <v>57</v>
      </c>
      <c r="D22" s="35">
        <v>10</v>
      </c>
      <c r="E22" s="29"/>
      <c r="F22" s="30">
        <f t="shared" si="4"/>
        <v>1</v>
      </c>
      <c r="G22" s="36">
        <f>400+497</f>
        <v>897</v>
      </c>
      <c r="H22" s="36"/>
      <c r="I22" s="36"/>
      <c r="J22" s="32">
        <f t="shared" si="0"/>
        <v>0</v>
      </c>
      <c r="K22" s="32">
        <f t="shared" si="1"/>
        <v>0</v>
      </c>
      <c r="L22" s="32">
        <f t="shared" si="2"/>
        <v>0</v>
      </c>
      <c r="M22" s="33">
        <f t="shared" si="5"/>
        <v>0</v>
      </c>
      <c r="N22" s="38"/>
      <c r="O22" s="38">
        <f>80+15</f>
        <v>95</v>
      </c>
      <c r="P22" s="36"/>
      <c r="Q22" s="36"/>
      <c r="R22" s="31">
        <f t="shared" si="6"/>
        <v>95</v>
      </c>
      <c r="S22" s="32">
        <f t="shared" si="7"/>
        <v>0</v>
      </c>
      <c r="T22" s="32">
        <f t="shared" si="8"/>
        <v>0</v>
      </c>
      <c r="U22" s="32">
        <f t="shared" si="9"/>
        <v>0</v>
      </c>
      <c r="V22" s="32">
        <f t="shared" si="10"/>
        <v>0</v>
      </c>
      <c r="W22" s="86">
        <f t="shared" si="11"/>
        <v>0</v>
      </c>
      <c r="X22" s="21" t="str">
        <f t="shared" si="12"/>
        <v>inserire prezzo offerto</v>
      </c>
    </row>
    <row r="23" spans="1:24" ht="21">
      <c r="A23" s="26" t="s">
        <v>58</v>
      </c>
      <c r="B23" s="34" t="s">
        <v>59</v>
      </c>
      <c r="C23" s="34" t="s">
        <v>60</v>
      </c>
      <c r="D23" s="35">
        <v>75</v>
      </c>
      <c r="E23" s="29"/>
      <c r="F23" s="30">
        <f t="shared" si="4"/>
        <v>1</v>
      </c>
      <c r="G23" s="36">
        <f>30+20</f>
        <v>50</v>
      </c>
      <c r="H23" s="36"/>
      <c r="I23" s="36"/>
      <c r="J23" s="32">
        <f t="shared" si="0"/>
        <v>0</v>
      </c>
      <c r="K23" s="32">
        <f t="shared" si="1"/>
        <v>0</v>
      </c>
      <c r="L23" s="32">
        <f t="shared" si="2"/>
        <v>0</v>
      </c>
      <c r="M23" s="33">
        <f t="shared" si="5"/>
        <v>0</v>
      </c>
      <c r="N23" s="38"/>
      <c r="O23" s="38">
        <f>20+15</f>
        <v>35</v>
      </c>
      <c r="P23" s="36"/>
      <c r="Q23" s="36"/>
      <c r="R23" s="31">
        <f t="shared" si="6"/>
        <v>35</v>
      </c>
      <c r="S23" s="32">
        <f t="shared" si="7"/>
        <v>0</v>
      </c>
      <c r="T23" s="32">
        <f t="shared" si="8"/>
        <v>0</v>
      </c>
      <c r="U23" s="32">
        <f t="shared" si="9"/>
        <v>0</v>
      </c>
      <c r="V23" s="32">
        <f t="shared" si="10"/>
        <v>0</v>
      </c>
      <c r="W23" s="86">
        <f t="shared" si="11"/>
        <v>0</v>
      </c>
      <c r="X23" s="21" t="str">
        <f t="shared" si="12"/>
        <v>inserire prezzo offerto</v>
      </c>
    </row>
    <row r="24" spans="1:24">
      <c r="A24" s="26" t="s">
        <v>111</v>
      </c>
      <c r="B24" s="34" t="s">
        <v>61</v>
      </c>
      <c r="C24" s="34" t="s">
        <v>14</v>
      </c>
      <c r="D24" s="35">
        <v>70</v>
      </c>
      <c r="E24" s="29"/>
      <c r="F24" s="30">
        <f t="shared" si="4"/>
        <v>1</v>
      </c>
      <c r="G24" s="36">
        <f>20+10</f>
        <v>30</v>
      </c>
      <c r="H24" s="36"/>
      <c r="I24" s="36"/>
      <c r="J24" s="32">
        <f t="shared" si="0"/>
        <v>0</v>
      </c>
      <c r="K24" s="32">
        <f t="shared" si="1"/>
        <v>0</v>
      </c>
      <c r="L24" s="32">
        <f t="shared" si="2"/>
        <v>0</v>
      </c>
      <c r="M24" s="33">
        <f t="shared" si="5"/>
        <v>0</v>
      </c>
      <c r="N24" s="38"/>
      <c r="O24" s="38">
        <f>20+10-10</f>
        <v>20</v>
      </c>
      <c r="P24" s="36"/>
      <c r="Q24" s="36"/>
      <c r="R24" s="31">
        <f t="shared" si="6"/>
        <v>20</v>
      </c>
      <c r="S24" s="32">
        <f t="shared" si="7"/>
        <v>0</v>
      </c>
      <c r="T24" s="32">
        <f t="shared" si="8"/>
        <v>0</v>
      </c>
      <c r="U24" s="32">
        <f t="shared" si="9"/>
        <v>0</v>
      </c>
      <c r="V24" s="32">
        <f t="shared" si="10"/>
        <v>0</v>
      </c>
      <c r="W24" s="86">
        <f t="shared" si="11"/>
        <v>0</v>
      </c>
      <c r="X24" s="21" t="str">
        <f t="shared" si="12"/>
        <v>inserire prezzo offerto</v>
      </c>
    </row>
    <row r="25" spans="1:24">
      <c r="A25" s="26" t="s">
        <v>62</v>
      </c>
      <c r="B25" s="34" t="s">
        <v>63</v>
      </c>
      <c r="C25" s="34" t="s">
        <v>64</v>
      </c>
      <c r="D25" s="35">
        <v>5.83</v>
      </c>
      <c r="E25" s="29"/>
      <c r="F25" s="30">
        <f t="shared" si="4"/>
        <v>1</v>
      </c>
      <c r="G25" s="36">
        <v>2103</v>
      </c>
      <c r="H25" s="36"/>
      <c r="I25" s="36"/>
      <c r="J25" s="32">
        <f t="shared" si="0"/>
        <v>0</v>
      </c>
      <c r="K25" s="32">
        <f t="shared" si="1"/>
        <v>0</v>
      </c>
      <c r="L25" s="32">
        <f t="shared" si="2"/>
        <v>0</v>
      </c>
      <c r="M25" s="33">
        <f t="shared" si="5"/>
        <v>0</v>
      </c>
      <c r="N25" s="36"/>
      <c r="O25" s="39">
        <v>200</v>
      </c>
      <c r="P25" s="36"/>
      <c r="Q25" s="36"/>
      <c r="R25" s="31">
        <f t="shared" si="6"/>
        <v>200</v>
      </c>
      <c r="S25" s="32">
        <f t="shared" si="7"/>
        <v>0</v>
      </c>
      <c r="T25" s="32">
        <f t="shared" si="8"/>
        <v>0</v>
      </c>
      <c r="U25" s="32">
        <f t="shared" si="9"/>
        <v>0</v>
      </c>
      <c r="V25" s="32">
        <f t="shared" si="10"/>
        <v>0</v>
      </c>
      <c r="W25" s="86">
        <f t="shared" si="11"/>
        <v>0</v>
      </c>
      <c r="X25" s="21" t="str">
        <f t="shared" si="12"/>
        <v>inserire prezzo offerto</v>
      </c>
    </row>
    <row r="26" spans="1:24">
      <c r="A26" s="26" t="s">
        <v>65</v>
      </c>
      <c r="B26" s="34" t="s">
        <v>66</v>
      </c>
      <c r="C26" s="34" t="s">
        <v>67</v>
      </c>
      <c r="D26" s="35">
        <v>7.76</v>
      </c>
      <c r="E26" s="29"/>
      <c r="F26" s="30">
        <f t="shared" si="4"/>
        <v>1</v>
      </c>
      <c r="G26" s="36">
        <v>600</v>
      </c>
      <c r="H26" s="36"/>
      <c r="I26" s="36"/>
      <c r="J26" s="32">
        <f t="shared" si="0"/>
        <v>0</v>
      </c>
      <c r="K26" s="32">
        <f t="shared" si="1"/>
        <v>0</v>
      </c>
      <c r="L26" s="32">
        <f t="shared" si="2"/>
        <v>0</v>
      </c>
      <c r="M26" s="33">
        <f t="shared" si="5"/>
        <v>0</v>
      </c>
      <c r="N26" s="36"/>
      <c r="O26" s="39">
        <v>60</v>
      </c>
      <c r="P26" s="36"/>
      <c r="Q26" s="36"/>
      <c r="R26" s="31">
        <f t="shared" si="6"/>
        <v>60</v>
      </c>
      <c r="S26" s="32">
        <f t="shared" si="7"/>
        <v>0</v>
      </c>
      <c r="T26" s="32">
        <f t="shared" si="8"/>
        <v>0</v>
      </c>
      <c r="U26" s="32">
        <f t="shared" si="9"/>
        <v>0</v>
      </c>
      <c r="V26" s="32">
        <f t="shared" si="10"/>
        <v>0</v>
      </c>
      <c r="W26" s="86">
        <f t="shared" si="11"/>
        <v>0</v>
      </c>
      <c r="X26" s="21" t="str">
        <f t="shared" si="12"/>
        <v>inserire prezzo offerto</v>
      </c>
    </row>
    <row r="27" spans="1:24">
      <c r="A27" s="26" t="s">
        <v>68</v>
      </c>
      <c r="B27" s="34" t="s">
        <v>69</v>
      </c>
      <c r="C27" s="34" t="s">
        <v>70</v>
      </c>
      <c r="D27" s="35">
        <v>3231.25</v>
      </c>
      <c r="E27" s="29"/>
      <c r="F27" s="30">
        <f t="shared" si="4"/>
        <v>1</v>
      </c>
      <c r="G27" s="36">
        <v>1</v>
      </c>
      <c r="H27" s="36"/>
      <c r="I27" s="36"/>
      <c r="J27" s="32">
        <f t="shared" si="0"/>
        <v>0</v>
      </c>
      <c r="K27" s="32">
        <f t="shared" si="1"/>
        <v>0</v>
      </c>
      <c r="L27" s="32">
        <f t="shared" si="2"/>
        <v>0</v>
      </c>
      <c r="M27" s="33">
        <f t="shared" si="5"/>
        <v>0</v>
      </c>
      <c r="N27" s="36">
        <v>1</v>
      </c>
      <c r="O27" s="36"/>
      <c r="P27" s="36"/>
      <c r="Q27" s="36"/>
      <c r="R27" s="31">
        <f t="shared" si="6"/>
        <v>1</v>
      </c>
      <c r="S27" s="32">
        <f t="shared" si="7"/>
        <v>0</v>
      </c>
      <c r="T27" s="32">
        <f t="shared" si="8"/>
        <v>0</v>
      </c>
      <c r="U27" s="32">
        <f t="shared" si="9"/>
        <v>0</v>
      </c>
      <c r="V27" s="32">
        <f t="shared" si="10"/>
        <v>0</v>
      </c>
      <c r="W27" s="86">
        <f t="shared" si="11"/>
        <v>0</v>
      </c>
      <c r="X27" s="21" t="str">
        <f t="shared" si="12"/>
        <v>inserire prezzo offerto</v>
      </c>
    </row>
    <row r="28" spans="1:24">
      <c r="A28" s="26" t="s">
        <v>71</v>
      </c>
      <c r="B28" s="34" t="s">
        <v>72</v>
      </c>
      <c r="C28" s="34" t="s">
        <v>70</v>
      </c>
      <c r="D28" s="40">
        <v>3262.5</v>
      </c>
      <c r="E28" s="29"/>
      <c r="F28" s="30">
        <f t="shared" si="4"/>
        <v>1</v>
      </c>
      <c r="G28" s="36"/>
      <c r="H28" s="36"/>
      <c r="I28" s="36">
        <v>1</v>
      </c>
      <c r="J28" s="32">
        <f t="shared" si="0"/>
        <v>0</v>
      </c>
      <c r="K28" s="32">
        <f t="shared" si="1"/>
        <v>0</v>
      </c>
      <c r="L28" s="32">
        <f t="shared" si="2"/>
        <v>0</v>
      </c>
      <c r="M28" s="33">
        <f t="shared" si="5"/>
        <v>0</v>
      </c>
      <c r="N28" s="36"/>
      <c r="O28" s="36"/>
      <c r="P28" s="36"/>
      <c r="Q28" s="36">
        <v>1</v>
      </c>
      <c r="R28" s="31">
        <f t="shared" si="6"/>
        <v>1</v>
      </c>
      <c r="S28" s="32">
        <f t="shared" si="7"/>
        <v>0</v>
      </c>
      <c r="T28" s="32">
        <f t="shared" si="8"/>
        <v>0</v>
      </c>
      <c r="U28" s="32">
        <f t="shared" si="9"/>
        <v>0</v>
      </c>
      <c r="V28" s="32">
        <f t="shared" si="10"/>
        <v>0</v>
      </c>
      <c r="W28" s="86">
        <f t="shared" si="11"/>
        <v>0</v>
      </c>
      <c r="X28" s="21" t="str">
        <f t="shared" si="12"/>
        <v>inserire prezzo offerto</v>
      </c>
    </row>
    <row r="29" spans="1:24">
      <c r="A29" s="26" t="s">
        <v>73</v>
      </c>
      <c r="B29" s="34" t="s">
        <v>74</v>
      </c>
      <c r="C29" s="34" t="s">
        <v>75</v>
      </c>
      <c r="D29" s="35">
        <v>2.7</v>
      </c>
      <c r="E29" s="29"/>
      <c r="F29" s="30">
        <f t="shared" si="4"/>
        <v>1</v>
      </c>
      <c r="G29" s="36"/>
      <c r="H29" s="36"/>
      <c r="I29" s="36"/>
      <c r="J29" s="32">
        <f t="shared" si="0"/>
        <v>0</v>
      </c>
      <c r="K29" s="32">
        <f t="shared" si="1"/>
        <v>0</v>
      </c>
      <c r="L29" s="32">
        <f t="shared" si="2"/>
        <v>0</v>
      </c>
      <c r="M29" s="33">
        <f t="shared" si="5"/>
        <v>0</v>
      </c>
      <c r="N29" s="36"/>
      <c r="O29" s="36">
        <v>3000</v>
      </c>
      <c r="P29" s="36"/>
      <c r="Q29" s="36"/>
      <c r="R29" s="31">
        <f t="shared" si="6"/>
        <v>3000</v>
      </c>
      <c r="S29" s="32">
        <f t="shared" si="7"/>
        <v>0</v>
      </c>
      <c r="T29" s="32">
        <f t="shared" si="8"/>
        <v>0</v>
      </c>
      <c r="U29" s="32">
        <f t="shared" si="9"/>
        <v>0</v>
      </c>
      <c r="V29" s="32">
        <f t="shared" si="10"/>
        <v>0</v>
      </c>
      <c r="W29" s="86">
        <f t="shared" si="11"/>
        <v>0</v>
      </c>
      <c r="X29" s="21" t="str">
        <f t="shared" si="12"/>
        <v>inserire prezzo offerto</v>
      </c>
    </row>
    <row r="30" spans="1:24">
      <c r="A30" s="26" t="s">
        <v>76</v>
      </c>
      <c r="B30" s="34" t="s">
        <v>77</v>
      </c>
      <c r="C30" s="34" t="s">
        <v>126</v>
      </c>
      <c r="D30" s="41">
        <v>0.3</v>
      </c>
      <c r="E30" s="42"/>
      <c r="F30" s="43">
        <f t="shared" si="4"/>
        <v>1</v>
      </c>
      <c r="G30" s="44" t="s">
        <v>78</v>
      </c>
      <c r="H30" s="36"/>
      <c r="I30" s="36"/>
      <c r="J30" s="45">
        <f>(J29+J31)*$E30</f>
        <v>0</v>
      </c>
      <c r="K30" s="45">
        <f t="shared" ref="K30:L30" si="13">(K29+K31)*$E30</f>
        <v>0</v>
      </c>
      <c r="L30" s="45">
        <f t="shared" si="13"/>
        <v>0</v>
      </c>
      <c r="M30" s="33">
        <f t="shared" si="5"/>
        <v>0</v>
      </c>
      <c r="N30" s="36"/>
      <c r="O30" s="44" t="s">
        <v>79</v>
      </c>
      <c r="P30" s="36"/>
      <c r="Q30" s="36"/>
      <c r="R30" s="44" t="s">
        <v>79</v>
      </c>
      <c r="S30" s="45">
        <f>(S29+S31)*$E30</f>
        <v>0</v>
      </c>
      <c r="T30" s="45">
        <f>(T29+T31)*$E30</f>
        <v>0</v>
      </c>
      <c r="U30" s="45">
        <f>(U29+U31)*$E30</f>
        <v>0</v>
      </c>
      <c r="V30" s="45">
        <f>(V29+V31)*$E30</f>
        <v>0</v>
      </c>
      <c r="W30" s="86">
        <f t="shared" si="11"/>
        <v>0</v>
      </c>
      <c r="X30" s="21" t="str">
        <f>IF(E30&gt;1,"valore offerto superiore a 100%",IF(E30&lt;0,"valore offerto minore di 0",IF(E30="","inserire valore offerto",IF(E30=0,"inserire valore offerto",""))))</f>
        <v>inserire valore offerto</v>
      </c>
    </row>
    <row r="31" spans="1:24">
      <c r="A31" s="26" t="s">
        <v>80</v>
      </c>
      <c r="B31" s="34" t="s">
        <v>81</v>
      </c>
      <c r="C31" s="34" t="s">
        <v>82</v>
      </c>
      <c r="D31" s="35">
        <v>2.16</v>
      </c>
      <c r="E31" s="29"/>
      <c r="F31" s="79">
        <f t="shared" si="4"/>
        <v>1</v>
      </c>
      <c r="G31" s="36"/>
      <c r="H31" s="36"/>
      <c r="I31" s="36"/>
      <c r="J31" s="32">
        <f>G31*$E31*J$1</f>
        <v>0</v>
      </c>
      <c r="K31" s="32">
        <f t="shared" ref="K31:L32" si="14">H31*$E31*K$1</f>
        <v>0</v>
      </c>
      <c r="L31" s="32">
        <f t="shared" si="14"/>
        <v>0</v>
      </c>
      <c r="M31" s="33">
        <f t="shared" si="5"/>
        <v>0</v>
      </c>
      <c r="N31" s="36"/>
      <c r="O31" s="36">
        <v>3000</v>
      </c>
      <c r="P31" s="36"/>
      <c r="Q31" s="36">
        <v>1300</v>
      </c>
      <c r="R31" s="31">
        <f t="shared" si="6"/>
        <v>4300</v>
      </c>
      <c r="S31" s="32">
        <f t="shared" ref="S31:S32" si="15">N31*$E31*S$1</f>
        <v>0</v>
      </c>
      <c r="T31" s="32">
        <f t="shared" ref="T31:T32" si="16">O31*$E31*T$1</f>
        <v>0</v>
      </c>
      <c r="U31" s="32">
        <f t="shared" ref="U31:U32" si="17">P31*$E31*U$1</f>
        <v>0</v>
      </c>
      <c r="V31" s="32">
        <f t="shared" ref="V31:V32" si="18">Q31*$E31*V$1</f>
        <v>0</v>
      </c>
      <c r="W31" s="86">
        <f t="shared" si="11"/>
        <v>0</v>
      </c>
      <c r="X31" s="21" t="str">
        <f>IF(E31&lt;0,"prezzo offerto minore di 0",IF(E31="","inserire prezzo offerto",IF(E31=0,"inserire prezzo offerto","")))</f>
        <v>inserire prezzo offerto</v>
      </c>
    </row>
    <row r="32" spans="1:24" ht="21">
      <c r="A32" s="26" t="s">
        <v>83</v>
      </c>
      <c r="B32" s="34" t="s">
        <v>84</v>
      </c>
      <c r="C32" s="34" t="s">
        <v>85</v>
      </c>
      <c r="D32" s="35">
        <v>775.5</v>
      </c>
      <c r="E32" s="29"/>
      <c r="F32" s="98">
        <f t="shared" si="4"/>
        <v>1</v>
      </c>
      <c r="G32" s="93"/>
      <c r="H32" s="36"/>
      <c r="I32" s="36"/>
      <c r="J32" s="32">
        <f>G32*$E32*J$1</f>
        <v>0</v>
      </c>
      <c r="K32" s="32">
        <f t="shared" si="14"/>
        <v>0</v>
      </c>
      <c r="L32" s="32">
        <f t="shared" si="14"/>
        <v>0</v>
      </c>
      <c r="M32" s="33">
        <f t="shared" ref="M32" si="19">SUM(J32:L32)</f>
        <v>0</v>
      </c>
      <c r="N32" s="36"/>
      <c r="O32" s="36">
        <v>5</v>
      </c>
      <c r="P32" s="36"/>
      <c r="Q32" s="36"/>
      <c r="R32" s="31">
        <f t="shared" si="6"/>
        <v>5</v>
      </c>
      <c r="S32" s="32">
        <f t="shared" si="15"/>
        <v>0</v>
      </c>
      <c r="T32" s="32">
        <f t="shared" si="16"/>
        <v>0</v>
      </c>
      <c r="U32" s="32">
        <f t="shared" si="17"/>
        <v>0</v>
      </c>
      <c r="V32" s="32">
        <f t="shared" si="18"/>
        <v>0</v>
      </c>
      <c r="W32" s="87">
        <f t="shared" si="11"/>
        <v>0</v>
      </c>
      <c r="X32" s="21" t="str">
        <f>IF(E32&lt;0,"prezzo offerto minore di 0",IF(E32="","inserire prezzo offerto",IF(E32=0,"inserire prezzo offerto","")))</f>
        <v>inserire prezzo offerto</v>
      </c>
    </row>
    <row r="33" spans="1:24" s="4" customFormat="1" ht="15.5" hidden="1">
      <c r="A33" s="46" t="s">
        <v>86</v>
      </c>
      <c r="B33" s="47"/>
      <c r="C33" s="34"/>
      <c r="D33" s="48"/>
      <c r="E33" s="49"/>
      <c r="F33" s="99"/>
      <c r="G33" s="94"/>
      <c r="H33" s="50"/>
      <c r="I33" s="50"/>
      <c r="J33" s="51">
        <f>SUM(J4:J32)</f>
        <v>0</v>
      </c>
      <c r="K33" s="51">
        <f t="shared" ref="K33:L33" si="20">SUM(K4:K32)</f>
        <v>0</v>
      </c>
      <c r="L33" s="51">
        <f t="shared" si="20"/>
        <v>0</v>
      </c>
      <c r="M33" s="52">
        <f t="shared" ref="M33:M38" si="21">SUM(J33:L33)</f>
        <v>0</v>
      </c>
      <c r="N33" s="50"/>
      <c r="O33" s="50"/>
      <c r="P33" s="50"/>
      <c r="Q33" s="50"/>
      <c r="R33" s="53"/>
      <c r="S33" s="51">
        <f>SUM(S4:S32)</f>
        <v>0</v>
      </c>
      <c r="T33" s="51">
        <f t="shared" ref="T33:V33" si="22">SUM(T4:T32)</f>
        <v>0</v>
      </c>
      <c r="U33" s="51">
        <f t="shared" si="22"/>
        <v>0</v>
      </c>
      <c r="V33" s="51">
        <f t="shared" si="22"/>
        <v>0</v>
      </c>
      <c r="W33" s="88">
        <f t="shared" si="11"/>
        <v>0</v>
      </c>
      <c r="X33" s="21" t="str">
        <f t="shared" ref="X33" si="23">IF(E33&gt;D33,"errore: prezzo offerto superiore alla base d'asta",IF(E33&lt;0,"errore: prezzo offerto minore di 0",IF(E33="","inserire prezzo offerto",IF(E33=0,"inserire prezzo offerto",""))))</f>
        <v>inserire prezzo offerto</v>
      </c>
    </row>
    <row r="34" spans="1:24">
      <c r="A34" s="26" t="s">
        <v>87</v>
      </c>
      <c r="B34" s="34" t="s">
        <v>88</v>
      </c>
      <c r="C34" s="34" t="s">
        <v>126</v>
      </c>
      <c r="D34" s="54">
        <v>0.15</v>
      </c>
      <c r="E34" s="55"/>
      <c r="F34" s="100"/>
      <c r="G34" s="72" t="s">
        <v>79</v>
      </c>
      <c r="H34" s="56" t="s">
        <v>79</v>
      </c>
      <c r="I34" s="56" t="s">
        <v>79</v>
      </c>
      <c r="J34" s="57">
        <f>SUM(J33*$E34)</f>
        <v>0</v>
      </c>
      <c r="K34" s="57">
        <f>SUM(K33*$E34)</f>
        <v>0</v>
      </c>
      <c r="L34" s="69">
        <f>SUM(L33*$E34)</f>
        <v>0</v>
      </c>
      <c r="M34" s="75">
        <f t="shared" si="21"/>
        <v>0</v>
      </c>
      <c r="N34" s="72" t="s">
        <v>89</v>
      </c>
      <c r="O34" s="56" t="s">
        <v>79</v>
      </c>
      <c r="P34" s="56" t="s">
        <v>79</v>
      </c>
      <c r="Q34" s="56" t="s">
        <v>79</v>
      </c>
      <c r="R34" s="56" t="s">
        <v>79</v>
      </c>
      <c r="S34" s="57">
        <f>SUM(S33*$E34)</f>
        <v>0</v>
      </c>
      <c r="T34" s="57">
        <f>SUM(T33*$E34)</f>
        <v>0</v>
      </c>
      <c r="U34" s="57">
        <f>SUM(U33*$E34)</f>
        <v>0</v>
      </c>
      <c r="V34" s="69">
        <f>SUM(V33*$E34)</f>
        <v>0</v>
      </c>
      <c r="W34" s="89">
        <f t="shared" si="11"/>
        <v>0</v>
      </c>
      <c r="X34" s="21" t="str">
        <f t="shared" ref="X34:X36" si="24">IF(E34&gt;1,"valore offerto superiore a 100%",IF(E34&lt;0,"valore offerto minore di 0",IF(E34="","inserire valore offerto",IF(E34=0,"inserire valore offerto",""))))</f>
        <v>inserire valore offerto</v>
      </c>
    </row>
    <row r="35" spans="1:24">
      <c r="A35" s="26" t="s">
        <v>104</v>
      </c>
      <c r="B35" s="34" t="s">
        <v>105</v>
      </c>
      <c r="C35" s="34" t="s">
        <v>126</v>
      </c>
      <c r="D35" s="58">
        <v>0.25</v>
      </c>
      <c r="E35" s="59"/>
      <c r="F35" s="82"/>
      <c r="G35" s="95" t="s">
        <v>78</v>
      </c>
      <c r="H35" s="60"/>
      <c r="I35" s="61"/>
      <c r="J35" s="45"/>
      <c r="K35" s="45"/>
      <c r="L35" s="70"/>
      <c r="M35" s="75">
        <f t="shared" si="21"/>
        <v>0</v>
      </c>
      <c r="N35" s="73"/>
      <c r="O35" s="62" t="s">
        <v>79</v>
      </c>
      <c r="P35" s="60"/>
      <c r="Q35" s="61"/>
      <c r="R35" s="62" t="s">
        <v>79</v>
      </c>
      <c r="S35" s="45"/>
      <c r="T35" s="45">
        <f>SUM(J33*E35)+SUM(T33*E35)</f>
        <v>0</v>
      </c>
      <c r="U35" s="45"/>
      <c r="V35" s="70"/>
      <c r="W35" s="89">
        <f t="shared" si="11"/>
        <v>0</v>
      </c>
      <c r="X35" s="21" t="str">
        <f t="shared" si="24"/>
        <v>inserire valore offerto</v>
      </c>
    </row>
    <row r="36" spans="1:24">
      <c r="A36" s="26" t="s">
        <v>90</v>
      </c>
      <c r="B36" s="34" t="s">
        <v>102</v>
      </c>
      <c r="C36" s="34" t="s">
        <v>126</v>
      </c>
      <c r="D36" s="58">
        <v>0.11799999999999999</v>
      </c>
      <c r="E36" s="59"/>
      <c r="F36" s="82"/>
      <c r="G36" s="74" t="s">
        <v>79</v>
      </c>
      <c r="H36" s="63"/>
      <c r="I36" s="64"/>
      <c r="J36" s="65">
        <f>(J33+J34+J35)*$E36</f>
        <v>0</v>
      </c>
      <c r="K36" s="65"/>
      <c r="L36" s="71"/>
      <c r="M36" s="75">
        <f t="shared" si="21"/>
        <v>0</v>
      </c>
      <c r="O36" s="64" t="s">
        <v>79</v>
      </c>
      <c r="P36" s="63"/>
      <c r="Q36" s="64"/>
      <c r="R36" s="64" t="s">
        <v>79</v>
      </c>
      <c r="S36" s="65"/>
      <c r="T36" s="65">
        <f>(T33+T34+T35)*$E36</f>
        <v>0</v>
      </c>
      <c r="U36" s="65"/>
      <c r="V36" s="71"/>
      <c r="W36" s="89">
        <f t="shared" si="11"/>
        <v>0</v>
      </c>
      <c r="X36" s="21" t="str">
        <f t="shared" si="24"/>
        <v>inserire valore offerto</v>
      </c>
    </row>
    <row r="37" spans="1:24">
      <c r="A37" s="26" t="s">
        <v>115</v>
      </c>
      <c r="B37" s="34" t="s">
        <v>116</v>
      </c>
      <c r="C37" s="34" t="s">
        <v>119</v>
      </c>
      <c r="D37" s="66">
        <v>7050</v>
      </c>
      <c r="E37" s="67"/>
      <c r="F37" s="98">
        <f t="shared" ref="F37" si="25">1-E37/D37</f>
        <v>1</v>
      </c>
      <c r="G37" s="93">
        <v>4</v>
      </c>
      <c r="H37" s="63"/>
      <c r="I37" s="64"/>
      <c r="J37" s="32">
        <f>G37*$E37*J$1</f>
        <v>0</v>
      </c>
      <c r="K37" s="65"/>
      <c r="L37" s="71"/>
      <c r="M37" s="75">
        <f t="shared" si="21"/>
        <v>0</v>
      </c>
      <c r="N37" s="74"/>
      <c r="O37" s="64"/>
      <c r="P37" s="63"/>
      <c r="Q37" s="64"/>
      <c r="R37" s="64"/>
      <c r="S37" s="65"/>
      <c r="T37" s="65"/>
      <c r="U37" s="65"/>
      <c r="V37" s="71"/>
      <c r="W37" s="89">
        <f t="shared" si="11"/>
        <v>0</v>
      </c>
      <c r="X37" s="21" t="str">
        <f>IF(E37&lt;0,"prezzo offerto minore di 0",IF(E37="","inserire prezzo offerto",IF(E37=0,"inserire prezzo offerto","")))</f>
        <v>inserire prezzo offerto</v>
      </c>
    </row>
    <row r="38" spans="1:24">
      <c r="A38" s="26" t="s">
        <v>117</v>
      </c>
      <c r="B38" s="34" t="s">
        <v>118</v>
      </c>
      <c r="C38" s="34" t="s">
        <v>120</v>
      </c>
      <c r="D38" s="66">
        <v>5875</v>
      </c>
      <c r="E38" s="67"/>
      <c r="F38" s="98">
        <f t="shared" ref="F38" si="26">1-E38/D38</f>
        <v>1</v>
      </c>
      <c r="G38" s="96">
        <v>1</v>
      </c>
      <c r="H38" s="63"/>
      <c r="I38" s="64"/>
      <c r="J38" s="80">
        <f>G38*$E38*J$1</f>
        <v>0</v>
      </c>
      <c r="K38" s="65"/>
      <c r="L38" s="71"/>
      <c r="M38" s="81">
        <f t="shared" si="21"/>
        <v>0</v>
      </c>
      <c r="N38" s="74"/>
      <c r="O38" s="64"/>
      <c r="P38" s="63"/>
      <c r="Q38" s="64"/>
      <c r="R38" s="64"/>
      <c r="S38" s="65"/>
      <c r="T38" s="65"/>
      <c r="U38" s="65"/>
      <c r="V38" s="71"/>
      <c r="W38" s="90">
        <f t="shared" ref="W38:W39" si="27">SUM(S38:V38)</f>
        <v>0</v>
      </c>
      <c r="X38" s="21" t="str">
        <f>IF(E38&lt;0,"prezzo offerto minore di 0",IF(E38="","inserire prezzo offerto",IF(E38=0,"inserire prezzo offerto","")))</f>
        <v>inserire prezzo offerto</v>
      </c>
    </row>
    <row r="39" spans="1:24">
      <c r="A39" s="26" t="s">
        <v>121</v>
      </c>
      <c r="B39" s="34" t="s">
        <v>122</v>
      </c>
      <c r="C39" s="34" t="s">
        <v>126</v>
      </c>
      <c r="D39" s="58">
        <v>0.11799999999999999</v>
      </c>
      <c r="E39" s="59"/>
      <c r="F39" s="82"/>
      <c r="G39" s="97"/>
      <c r="H39" s="83" t="s">
        <v>79</v>
      </c>
      <c r="I39" s="84" t="s">
        <v>79</v>
      </c>
      <c r="J39" s="85"/>
      <c r="K39" s="85">
        <f>(K33+K34+K35)*$E39</f>
        <v>0</v>
      </c>
      <c r="L39" s="85">
        <f>(L33+L34+L35)*$E39</f>
        <v>0</v>
      </c>
      <c r="M39" s="75">
        <f t="shared" ref="M39" si="28">SUM(J39:L39)</f>
        <v>0</v>
      </c>
      <c r="N39" s="83" t="s">
        <v>89</v>
      </c>
      <c r="O39" s="84"/>
      <c r="P39" s="83" t="s">
        <v>79</v>
      </c>
      <c r="Q39" s="84" t="s">
        <v>79</v>
      </c>
      <c r="R39" s="84" t="s">
        <v>79</v>
      </c>
      <c r="S39" s="85">
        <f>(S33+S34+S35)*$E39</f>
        <v>0</v>
      </c>
      <c r="T39" s="85"/>
      <c r="U39" s="85">
        <f>(U33+U34+U35)*$E39</f>
        <v>0</v>
      </c>
      <c r="V39" s="85">
        <f>(V33+V34+V35)*$E39</f>
        <v>0</v>
      </c>
      <c r="W39" s="89">
        <f t="shared" si="27"/>
        <v>0</v>
      </c>
      <c r="X39" s="21" t="str">
        <f t="shared" ref="X39" si="29">IF(E39&gt;1,"valore offerto superiore a 100%",IF(E39&lt;0,"valore offerto minore di 0",IF(E39="","inserire valore offerto",IF(E39=0,"inserire valore offerto",""))))</f>
        <v>inserire valore offerto</v>
      </c>
    </row>
    <row r="40" spans="1:24" hidden="1">
      <c r="A40" s="5" t="s">
        <v>91</v>
      </c>
      <c r="B40" s="6"/>
      <c r="C40" s="6"/>
      <c r="D40" s="7"/>
      <c r="E40" s="7" t="s">
        <v>91</v>
      </c>
      <c r="F40" s="7"/>
      <c r="G40" s="7"/>
      <c r="H40" s="7"/>
      <c r="I40" s="7"/>
      <c r="J40" s="8">
        <f>SUM(J33:J39)</f>
        <v>0</v>
      </c>
      <c r="K40" s="8">
        <f>SUM(K33:K39)</f>
        <v>0</v>
      </c>
      <c r="L40" s="8">
        <f>SUM(L33:L39)</f>
        <v>0</v>
      </c>
      <c r="M40" s="9">
        <f>SUM(M33:M39)</f>
        <v>0</v>
      </c>
      <c r="N40" s="7"/>
      <c r="O40" s="7"/>
      <c r="P40" s="7"/>
      <c r="Q40" s="7"/>
      <c r="R40" s="7"/>
      <c r="S40" s="8">
        <f>SUM(S33:S39)</f>
        <v>0</v>
      </c>
      <c r="T40" s="8">
        <f>SUM(T33:T39)</f>
        <v>0</v>
      </c>
      <c r="U40" s="8">
        <f>SUM(U33:U39)</f>
        <v>0</v>
      </c>
      <c r="V40" s="8">
        <f>SUM(V33:V39)</f>
        <v>0</v>
      </c>
      <c r="W40" s="9">
        <f>SUM(W33:W39)</f>
        <v>0</v>
      </c>
    </row>
    <row r="41" spans="1:24">
      <c r="J41" s="10"/>
    </row>
    <row r="42" spans="1:24">
      <c r="H42" s="11"/>
      <c r="K42" s="11"/>
      <c r="L42" s="11"/>
      <c r="N42" s="12"/>
    </row>
    <row r="44" spans="1:24">
      <c r="J44" s="13"/>
      <c r="K44" s="14"/>
      <c r="L44" s="14"/>
      <c r="M44" s="14"/>
    </row>
    <row r="45" spans="1:24">
      <c r="J45" s="14"/>
      <c r="K45" s="14"/>
      <c r="L45" s="14"/>
      <c r="M45" s="14"/>
    </row>
    <row r="46" spans="1:24">
      <c r="J46" s="15"/>
      <c r="K46" s="14"/>
      <c r="L46" s="14"/>
      <c r="M46" s="14"/>
    </row>
    <row r="47" spans="1:24">
      <c r="J47" s="14"/>
      <c r="K47" s="14"/>
      <c r="L47" s="14"/>
      <c r="M47" s="14"/>
    </row>
    <row r="48" spans="1:24">
      <c r="J48" s="14"/>
      <c r="K48" s="14"/>
      <c r="L48" s="14"/>
      <c r="M48" s="14"/>
    </row>
  </sheetData>
  <sheetProtection algorithmName="SHA-512" hashValue="kqR4p48rMURkP1LLW2zPCRn2q3OTGaTr6vM7td3hJxMYbHgORj74S5V93I43yyu4G34fYTwYI4zfxcBaoutaAQ==" saltValue="BH+OpBNLsVvugRtI6Fh/9Q==" spinCount="100000" sheet="1" objects="1" scenarios="1"/>
  <mergeCells count="1">
    <mergeCell ref="A2:X2"/>
  </mergeCells>
  <hyperlinks>
    <hyperlink ref="A36" r:id="rId1"/>
    <hyperlink ref="A39" r:id="rId2" display="PROD16290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TOTALE OFFERTA</vt:lpstr>
      <vt:lpstr>DETTAGLIO QUOTAZIONI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2023-09-14T14:07:39Z</dcterms:created>
  <dcterms:modified xsi:type="dcterms:W3CDTF">2023-11-08T16:29:12Z</dcterms:modified>
</cp:coreProperties>
</file>